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2805" windowWidth="10980" windowHeight="5745" tabRatio="669" activeTab="0"/>
  </bookViews>
  <sheets>
    <sheet name="10-2559(พิการเบิกจ่ายแต่ละเดือน" sheetId="1" r:id="rId1"/>
    <sheet name="10-2559) ผู้ป่วย" sheetId="2" r:id="rId2"/>
    <sheet name="Sheet2" sheetId="3" r:id="rId3"/>
  </sheets>
  <definedNames>
    <definedName name="_xlfn.BAHTTEXT" hidden="1">#NAME?</definedName>
    <definedName name="_xlnm.Print_Area" localSheetId="0">'10-2559(พิการเบิกจ่ายแต่ละเดือน'!$A$1:$AE$308</definedName>
    <definedName name="_xlnm.Print_Area" localSheetId="1">'10-2559) ผู้ป่วย'!$A$1:$AE$269</definedName>
    <definedName name="_xlnm.Print_Titles" localSheetId="0">'10-2559(พิการเบิกจ่ายแต่ละเดือน'!$1:$5</definedName>
    <definedName name="_xlnm.Print_Titles" localSheetId="1">'10-2559) ผู้ป่วย'!$1:$5</definedName>
  </definedNames>
  <calcPr fullCalcOnLoad="1"/>
</workbook>
</file>

<file path=xl/sharedStrings.xml><?xml version="1.0" encoding="utf-8"?>
<sst xmlns="http://schemas.openxmlformats.org/spreadsheetml/2006/main" count="742" uniqueCount="434">
  <si>
    <t>อายุ</t>
  </si>
  <si>
    <t>ช่วงอายุ</t>
  </si>
  <si>
    <t>60 - 69</t>
  </si>
  <si>
    <t>อายุ 70-79 ปี
(คน)</t>
  </si>
  <si>
    <t>อายุ 80-89 ปี
(คน)</t>
  </si>
  <si>
    <t>อายุ 60-69 ปี
(คน)</t>
  </si>
  <si>
    <t>อายุ 90 ปีขึ้นไป
(คน)</t>
  </si>
  <si>
    <t>70-79</t>
  </si>
  <si>
    <t>80-89</t>
  </si>
  <si>
    <t>90 ขึ้นไป</t>
  </si>
  <si>
    <t>ที่</t>
  </si>
  <si>
    <t>ชื่อ-สกุล</t>
  </si>
  <si>
    <t>ที่อยู่</t>
  </si>
  <si>
    <t>อายุ (เดือน)</t>
  </si>
  <si>
    <t>อายุ
(ปี)</t>
  </si>
  <si>
    <t>รวม
(คน)</t>
  </si>
  <si>
    <t>รวมเงิน
(บาท)</t>
  </si>
  <si>
    <t>-----------------------------------------------------------------</t>
  </si>
  <si>
    <t>จำนวนเงิน
(บาท)</t>
  </si>
  <si>
    <t>เลขที่บัตรประจำตัว
ประชาชน</t>
  </si>
  <si>
    <t>ลายมือชื่อ
ผู้รับเงิน</t>
  </si>
  <si>
    <t>หมู่</t>
  </si>
  <si>
    <t>จำนวน</t>
  </si>
  <si>
    <t>รวมทั้งสิ้น</t>
  </si>
  <si>
    <t>วัน-เดือน-ปี 
เกิด
ของผู้สูงอายุ</t>
  </si>
  <si>
    <t>รวม</t>
  </si>
  <si>
    <t>อายุ
(วัน)</t>
  </si>
  <si>
    <t>อายุ (รวม)</t>
  </si>
  <si>
    <t>คำนวณอายุ ณ วันที่</t>
  </si>
  <si>
    <t>นาย</t>
  </si>
  <si>
    <t>นาง</t>
  </si>
  <si>
    <t>น.ส.</t>
  </si>
  <si>
    <t>สมศักดิ์</t>
  </si>
  <si>
    <t>ประเทือง</t>
  </si>
  <si>
    <t>พยุง</t>
  </si>
  <si>
    <t>ณรงค์</t>
  </si>
  <si>
    <t>บุญช่วย</t>
  </si>
  <si>
    <t>บุญชู</t>
  </si>
  <si>
    <t>29</t>
  </si>
  <si>
    <t>38</t>
  </si>
  <si>
    <t>49</t>
  </si>
  <si>
    <t>64</t>
  </si>
  <si>
    <t>17/1</t>
  </si>
  <si>
    <t>สมพงษ์</t>
  </si>
  <si>
    <t>อุบล</t>
  </si>
  <si>
    <t>สำรวย</t>
  </si>
  <si>
    <t>45/2</t>
  </si>
  <si>
    <t>57</t>
  </si>
  <si>
    <t>4</t>
  </si>
  <si>
    <t>5</t>
  </si>
  <si>
    <t>7</t>
  </si>
  <si>
    <t>12/1</t>
  </si>
  <si>
    <t>20</t>
  </si>
  <si>
    <t>27</t>
  </si>
  <si>
    <t>47</t>
  </si>
  <si>
    <t>54</t>
  </si>
  <si>
    <t>61</t>
  </si>
  <si>
    <t>67</t>
  </si>
  <si>
    <t>71</t>
  </si>
  <si>
    <t>77</t>
  </si>
  <si>
    <t>อนงค์</t>
  </si>
  <si>
    <t>จำลอง</t>
  </si>
  <si>
    <t>เรณู</t>
  </si>
  <si>
    <t>นันทา</t>
  </si>
  <si>
    <t>สุรินทร์</t>
  </si>
  <si>
    <t>13</t>
  </si>
  <si>
    <t>15</t>
  </si>
  <si>
    <t>44</t>
  </si>
  <si>
    <t>50</t>
  </si>
  <si>
    <t>นิพนธ์</t>
  </si>
  <si>
    <t>สมจิตร</t>
  </si>
  <si>
    <t>สมชาย</t>
  </si>
  <si>
    <t>สมหมาย</t>
  </si>
  <si>
    <t>สุพรรณี</t>
  </si>
  <si>
    <t>มานิต</t>
  </si>
  <si>
    <t>76</t>
  </si>
  <si>
    <t>ลำพึง</t>
  </si>
  <si>
    <t>สมคิด</t>
  </si>
  <si>
    <t>ยุพิน</t>
  </si>
  <si>
    <t>42</t>
  </si>
  <si>
    <t>32</t>
  </si>
  <si>
    <t>59/1</t>
  </si>
  <si>
    <t>ม.3</t>
  </si>
  <si>
    <t>53</t>
  </si>
  <si>
    <t>ม.4</t>
  </si>
  <si>
    <t>เล่าทุย</t>
  </si>
  <si>
    <t>ดวงดารา</t>
  </si>
  <si>
    <t>26/1</t>
  </si>
  <si>
    <t>26/2</t>
  </si>
  <si>
    <t>ทองประสี</t>
  </si>
  <si>
    <t>เทียมทัด</t>
  </si>
  <si>
    <t>กิมไล้</t>
  </si>
  <si>
    <t>สมบัติ</t>
  </si>
  <si>
    <t>ใจเร็ว</t>
  </si>
  <si>
    <t>คิมประเสริฐ</t>
  </si>
  <si>
    <t>สร้อยทอง</t>
  </si>
  <si>
    <t>อำพร</t>
  </si>
  <si>
    <t>วรรณพร</t>
  </si>
  <si>
    <t>กิตตินิรนาท</t>
  </si>
  <si>
    <t>90/315</t>
  </si>
  <si>
    <t>136/30</t>
  </si>
  <si>
    <t>60/5</t>
  </si>
  <si>
    <t>มนตรี</t>
  </si>
  <si>
    <t>อยู่อุ๊น</t>
  </si>
  <si>
    <t>50/2</t>
  </si>
  <si>
    <t>บุญเฉลิม</t>
  </si>
  <si>
    <t>บัญชา</t>
  </si>
  <si>
    <t>สมยศ</t>
  </si>
  <si>
    <t>107/17</t>
  </si>
  <si>
    <t>136/22</t>
  </si>
  <si>
    <t>อินแขก</t>
  </si>
  <si>
    <t>รุ่มนุ่ม</t>
  </si>
  <si>
    <t>โพร้งเกร็ด</t>
  </si>
  <si>
    <t>สุวิมล</t>
  </si>
  <si>
    <t>สมทรง</t>
  </si>
  <si>
    <t>หั้นตะโก</t>
  </si>
  <si>
    <t>ปู่จุ้ย</t>
  </si>
  <si>
    <t>สะสมทรัพย์</t>
  </si>
  <si>
    <t>จันทร์หอม</t>
  </si>
  <si>
    <t>กิจสวัสดิ์</t>
  </si>
  <si>
    <t>ม.2</t>
  </si>
  <si>
    <t>ทวี</t>
  </si>
  <si>
    <t>ปัถวี</t>
  </si>
  <si>
    <t>อยู่คงพัน</t>
  </si>
  <si>
    <t>จุลปาน</t>
  </si>
  <si>
    <t>9/2</t>
  </si>
  <si>
    <t>วิโรจน์</t>
  </si>
  <si>
    <t>ใช้เจริญ</t>
  </si>
  <si>
    <t>6</t>
  </si>
  <si>
    <t>รุ่งเรืองศรี</t>
  </si>
  <si>
    <t>อารอบ</t>
  </si>
  <si>
    <t>ศุภอุดมฤกษ์</t>
  </si>
  <si>
    <t>ชูศรี</t>
  </si>
  <si>
    <t>ศรีพรหมมา</t>
  </si>
  <si>
    <t>อิ้วชาวนา</t>
  </si>
  <si>
    <t>วรรณประเสริฐ</t>
  </si>
  <si>
    <t>อยู่เย็นเจริญ</t>
  </si>
  <si>
    <t>21</t>
  </si>
  <si>
    <t>31</t>
  </si>
  <si>
    <t>ไพศาล</t>
  </si>
  <si>
    <t>สุขทัศน์</t>
  </si>
  <si>
    <t>มังกรแก้ว</t>
  </si>
  <si>
    <t>ศรีนวล</t>
  </si>
  <si>
    <t>บุญธรรม</t>
  </si>
  <si>
    <t>11/1</t>
  </si>
  <si>
    <t>มนะเวศน์</t>
  </si>
  <si>
    <t>อุ่นสุวรรณ</t>
  </si>
  <si>
    <t>ชื่นภิรมย์</t>
  </si>
  <si>
    <t>บุญเหลือ</t>
  </si>
  <si>
    <t>โกศลสมบูรณ์</t>
  </si>
  <si>
    <t>13/1</t>
  </si>
  <si>
    <t>พงษ์</t>
  </si>
  <si>
    <t>สิริพิพัฒน์</t>
  </si>
  <si>
    <t>90/79</t>
  </si>
  <si>
    <t>กฤต</t>
  </si>
  <si>
    <t>สอาดรัตน์</t>
  </si>
  <si>
    <t>90/189</t>
  </si>
  <si>
    <t>59/5</t>
  </si>
  <si>
    <t>เกตุแก้ว</t>
  </si>
  <si>
    <t>44/36</t>
  </si>
  <si>
    <t>เกตุ</t>
  </si>
  <si>
    <t>91/203</t>
  </si>
  <si>
    <t>ปู่มาก</t>
  </si>
  <si>
    <t>53/4</t>
  </si>
  <si>
    <t>ปู่แจง</t>
  </si>
  <si>
    <t>จำเรียง</t>
  </si>
  <si>
    <t>หลักสุวรรณ</t>
  </si>
  <si>
    <t>มธุรส</t>
  </si>
  <si>
    <t>ทรัพย์พยา</t>
  </si>
  <si>
    <t>36/2</t>
  </si>
  <si>
    <t>39/1</t>
  </si>
  <si>
    <t>เพชร</t>
  </si>
  <si>
    <t>ชู</t>
  </si>
  <si>
    <t>สินธ์</t>
  </si>
  <si>
    <t>สุ่น</t>
  </si>
  <si>
    <t>30/3</t>
  </si>
  <si>
    <t>11/5</t>
  </si>
  <si>
    <t>2/1</t>
  </si>
  <si>
    <t>บางเขม็ด</t>
  </si>
  <si>
    <t>มะรินทร์</t>
  </si>
  <si>
    <t>แย้มปู่</t>
  </si>
  <si>
    <t>จิวพานิช</t>
  </si>
  <si>
    <t>67/9</t>
  </si>
  <si>
    <t>ม.5</t>
  </si>
  <si>
    <t>สุขตาล</t>
  </si>
  <si>
    <t>ช้างทอง</t>
  </si>
  <si>
    <t>องค์การบริหารส่วนตำบลทรงคนอง  อำเภอสามพราน  จังหวัดนครปฐม</t>
  </si>
  <si>
    <t xml:space="preserve"> </t>
  </si>
  <si>
    <t>ม.1</t>
  </si>
  <si>
    <t>พันธ์พวก</t>
  </si>
  <si>
    <t>91/136</t>
  </si>
  <si>
    <t>จินตนา</t>
  </si>
  <si>
    <t>พฤกษาดอน</t>
  </si>
  <si>
    <t>90/149</t>
  </si>
  <si>
    <t>3-1007-00985-93-3</t>
  </si>
  <si>
    <t>นุชกุล</t>
  </si>
  <si>
    <t>91/373</t>
  </si>
  <si>
    <t>3-1020-02223-48-7</t>
  </si>
  <si>
    <t>นุชหรั่ง</t>
  </si>
  <si>
    <t>90/196</t>
  </si>
  <si>
    <t>90/20</t>
  </si>
  <si>
    <t>3-7798-00304-09-4</t>
  </si>
  <si>
    <t>112/4</t>
  </si>
  <si>
    <t>63/1</t>
  </si>
  <si>
    <t>ม.6</t>
  </si>
  <si>
    <t>จำเป็น</t>
  </si>
  <si>
    <t>3-7306-00575-21-5</t>
  </si>
  <si>
    <t>3-7306-00576-90-4</t>
  </si>
  <si>
    <t>เสกสรร</t>
  </si>
  <si>
    <t>กาญจโนทัย</t>
  </si>
  <si>
    <t>3-7301-01477-005</t>
  </si>
  <si>
    <t>3-7306-00597-12-0</t>
  </si>
  <si>
    <t>3-7306-00580-88-0</t>
  </si>
  <si>
    <t>3-7306-00577-88-9</t>
  </si>
  <si>
    <t>ด.ช.</t>
  </si>
  <si>
    <t>สัญญา</t>
  </si>
  <si>
    <t>1-7399-01830-07-1</t>
  </si>
  <si>
    <t>3-7301-01476-99-8</t>
  </si>
  <si>
    <t>3-7303-00920-83-9</t>
  </si>
  <si>
    <t>ปัณฑ์มรรษสร</t>
  </si>
  <si>
    <t>ประเสริฐมรรค</t>
  </si>
  <si>
    <t>3-1007-00483-05-9</t>
  </si>
  <si>
    <t>3-7306-00575-31-2</t>
  </si>
  <si>
    <t>3-7306-00578-46-0</t>
  </si>
  <si>
    <t>ลำแพน</t>
  </si>
  <si>
    <t>3-7306-00875-47-2</t>
  </si>
  <si>
    <t>3-1012-03238-35-9</t>
  </si>
  <si>
    <t>ณัฐชลัยย์</t>
  </si>
  <si>
    <t>3-7306-00277-43-5</t>
  </si>
  <si>
    <t>ตุ่น</t>
  </si>
  <si>
    <t>คงภูมิ</t>
  </si>
  <si>
    <t>91/44</t>
  </si>
  <si>
    <t>3-9602-00381-00-4</t>
  </si>
  <si>
    <t>จิรเดช(สุทัศน์)</t>
  </si>
  <si>
    <t>รอดตะเภา</t>
  </si>
  <si>
    <t>113/5</t>
  </si>
  <si>
    <t>3-6011-00825-69-9</t>
  </si>
  <si>
    <t>ขันธมัติ</t>
  </si>
  <si>
    <t>เจนเจริญ</t>
  </si>
  <si>
    <t>114/25</t>
  </si>
  <si>
    <t>3-7105-00910-06-3</t>
  </si>
  <si>
    <t>สุรวุฒิ</t>
  </si>
  <si>
    <t>อพินรัมย์</t>
  </si>
  <si>
    <t>126/2</t>
  </si>
  <si>
    <t>1-1020-01506-71-3</t>
  </si>
  <si>
    <t>ด.ญ.</t>
  </si>
  <si>
    <t>ภัทรธิดา</t>
  </si>
  <si>
    <t>สมปรีดา</t>
  </si>
  <si>
    <t>133/1</t>
  </si>
  <si>
    <t>1-1002-01866-37-1</t>
  </si>
  <si>
    <t>รัฐภูมิ</t>
  </si>
  <si>
    <t>เฉลิมแสงจันทร์</t>
  </si>
  <si>
    <t>1-1002-01810-06-6</t>
  </si>
  <si>
    <t>เอกธนัช</t>
  </si>
  <si>
    <t>จันทราภาส</t>
  </si>
  <si>
    <t>1-7306-01261-97-8</t>
  </si>
  <si>
    <t>1/2.</t>
  </si>
  <si>
    <t>ศิริวัฒนไพฑูรย์</t>
  </si>
  <si>
    <t>91/174</t>
  </si>
  <si>
    <t>5-9098-99021-62-1</t>
  </si>
  <si>
    <t>ประภาภรณ์</t>
  </si>
  <si>
    <t>กิมานุวัฒน์</t>
  </si>
  <si>
    <t>138/16</t>
  </si>
  <si>
    <t>1-2006-00087-91-0</t>
  </si>
  <si>
    <t>สุริวรรณ์</t>
  </si>
  <si>
    <t>91/97</t>
  </si>
  <si>
    <t>3-4711-00069-30-6</t>
  </si>
  <si>
    <t>ปฐมพร</t>
  </si>
  <si>
    <t>พิชิตไชพิทักษ์</t>
  </si>
  <si>
    <t>1-1037-00593-56-0</t>
  </si>
  <si>
    <t>จีระศักดิ์</t>
  </si>
  <si>
    <t>คนจริง</t>
  </si>
  <si>
    <t>121/12</t>
  </si>
  <si>
    <t>3-2602-00196-35-1</t>
  </si>
  <si>
    <t>วรรณธนวรรณ</t>
  </si>
  <si>
    <t>ทรัพย์อดิเรก</t>
  </si>
  <si>
    <t>126/6</t>
  </si>
  <si>
    <t>3-9611-00126-46-1</t>
  </si>
  <si>
    <t>นิชาภา</t>
  </si>
  <si>
    <t>ประดิษฐบาทุกา</t>
  </si>
  <si>
    <t>134/28</t>
  </si>
  <si>
    <t>3-1024-01023-64-3</t>
  </si>
  <si>
    <t>เลิศชัย</t>
  </si>
  <si>
    <t>ไวเฮ็ด</t>
  </si>
  <si>
    <t>90/281</t>
  </si>
  <si>
    <t>3-1009-00409-40-5</t>
  </si>
  <si>
    <t>3-1020-01603-04-9</t>
  </si>
  <si>
    <t>สำราญจิตร์</t>
  </si>
  <si>
    <t>หร่มวิสัย</t>
  </si>
  <si>
    <t>3-1012-00290-43-1</t>
  </si>
  <si>
    <t>ณัฐนิชา</t>
  </si>
  <si>
    <t>มณีกาศ</t>
  </si>
  <si>
    <t>1-5499-00905-60-5</t>
  </si>
  <si>
    <t>จ่าย ต.ค.58 (งบ 59)</t>
  </si>
  <si>
    <t>3-7302-00378-11-1</t>
  </si>
  <si>
    <t>3-7306-00581-94-1</t>
  </si>
  <si>
    <t>3-7306-00591-93-8</t>
  </si>
  <si>
    <t>1-1020-00082-78-2</t>
  </si>
  <si>
    <t>ขวัญใจ</t>
  </si>
  <si>
    <t>3-7101-00970-21-2</t>
  </si>
  <si>
    <t>3-7306-00585-65-2</t>
  </si>
  <si>
    <t>3-7306-00586-06-3</t>
  </si>
  <si>
    <t>3-7306-00587-93-1</t>
  </si>
  <si>
    <t>3-7306-00588-49-0</t>
  </si>
  <si>
    <t>3-7306-00584-89-3</t>
  </si>
  <si>
    <t>3-7306-00592-58-6</t>
  </si>
  <si>
    <t>ปิ่นประสาธนกุล</t>
  </si>
  <si>
    <t>3-7306-00593-87-6</t>
  </si>
  <si>
    <t>จุฑาทิพย์</t>
  </si>
  <si>
    <t>บุญตัน</t>
  </si>
  <si>
    <t>3-7306-00591-82-2</t>
  </si>
  <si>
    <t>3-7306-00873-05-4</t>
  </si>
  <si>
    <t>ฐานิต</t>
  </si>
  <si>
    <t>ตัณฑวิรุฬห์</t>
  </si>
  <si>
    <t>3-7306-00593-41-8</t>
  </si>
  <si>
    <t>3-7306-00218-70-6</t>
  </si>
  <si>
    <t>หฤทัย</t>
  </si>
  <si>
    <t>3-7306-00595-32-1</t>
  </si>
  <si>
    <t>น้อยชัยญา</t>
  </si>
  <si>
    <t>3-7306-00596-24-7</t>
  </si>
  <si>
    <t>สุรบท</t>
  </si>
  <si>
    <t>1-7399-00585-86-2</t>
  </si>
  <si>
    <t>3-7306-00595-46-1</t>
  </si>
  <si>
    <t>อรสา</t>
  </si>
  <si>
    <t>67/3</t>
  </si>
  <si>
    <t>3-7306-00490-01-5</t>
  </si>
  <si>
    <t>ทรงชัย</t>
  </si>
  <si>
    <t>3-7306-00599-38-6</t>
  </si>
  <si>
    <t>นางแล</t>
  </si>
  <si>
    <t>1-7306-00074-84-8</t>
  </si>
  <si>
    <t>3-7306-00587-05-1</t>
  </si>
  <si>
    <t>3-7306-00587-79-5</t>
  </si>
  <si>
    <t>ปรานอม</t>
  </si>
  <si>
    <t>3-7306-00586-79-9</t>
  </si>
  <si>
    <t>1-7004-00167-39-7</t>
  </si>
  <si>
    <t>3-7306-00588-32-5</t>
  </si>
  <si>
    <t>3-7306-00133-22-1</t>
  </si>
  <si>
    <t>พิพัฒน์พงษ์</t>
  </si>
  <si>
    <t>1-1008-00584-70-5</t>
  </si>
  <si>
    <t>3-7306-00586-73-0</t>
  </si>
  <si>
    <t>บุญเจริญ</t>
  </si>
  <si>
    <t>108</t>
  </si>
  <si>
    <t>3-7306-00584-35-4</t>
  </si>
  <si>
    <t>3-7306-00585-99-7</t>
  </si>
  <si>
    <t>นางต๊ะ</t>
  </si>
  <si>
    <t>โมครัตน์</t>
  </si>
  <si>
    <t>102/25</t>
  </si>
  <si>
    <t xml:space="preserve">                                                       รับรองความถูกต้อง........................................................</t>
  </si>
  <si>
    <t xml:space="preserve">                                                                         ( นางสาววรวีร์  ภมร )</t>
  </si>
  <si>
    <t xml:space="preserve"> k</t>
  </si>
  <si>
    <t xml:space="preserve">     นักพัฒนาชุมชนชำนาญการ</t>
  </si>
  <si>
    <t xml:space="preserve">                       นักพัฒนาชุมชนชำนาญการ</t>
  </si>
  <si>
    <t>ศรีเพ็ญ</t>
  </si>
  <si>
    <t>บั้งเงิน</t>
  </si>
  <si>
    <t>105/30</t>
  </si>
  <si>
    <t>มนัส</t>
  </si>
  <si>
    <t>รับเบี้ย ต.ค.59 (งบ 60)</t>
  </si>
  <si>
    <t>เสนอ</t>
  </si>
  <si>
    <t>บัญชีรายชื่อผู้มีสิทธิได้รับเงินเบี้ยยังชีพผู้พิการ ประจำปีงบประมาณ พ.ศ. 2560</t>
  </si>
  <si>
    <t>บัญชีรายชื่อผู้มีสิทธิได้รับเงินเบี้ยยังชีพผู้ป่วยฯ ประจำปีงบประมาณ พ.ศ. 2560</t>
  </si>
  <si>
    <t>วรวิทย์</t>
  </si>
  <si>
    <t>โพธิ์ทอง</t>
  </si>
  <si>
    <t>113/13</t>
  </si>
  <si>
    <t>สรยุทธ</t>
  </si>
  <si>
    <t>หอมจันทร์</t>
  </si>
  <si>
    <t>91/336</t>
  </si>
  <si>
    <t>รุ่งสยาม</t>
  </si>
  <si>
    <t>39/4</t>
  </si>
  <si>
    <t>รชตะ</t>
  </si>
  <si>
    <t>ฉิมคุ้ม</t>
  </si>
  <si>
    <t>131/12</t>
  </si>
  <si>
    <t>ผคม</t>
  </si>
  <si>
    <t>ลิมปิพิพัฒน์</t>
  </si>
  <si>
    <t>91/127</t>
  </si>
  <si>
    <t>สำเริง</t>
  </si>
  <si>
    <t>18/2.</t>
  </si>
  <si>
    <t>26/3.</t>
  </si>
  <si>
    <t>รุ่งรัตน์</t>
  </si>
  <si>
    <t>ทวีแสงชัย</t>
  </si>
  <si>
    <t>เริ่มจ่ายครั้งแรก ก.ค.59</t>
  </si>
  <si>
    <t>เริ่มจ่ายครั้งแรก ส.ค.59</t>
  </si>
  <si>
    <t>พัชธิดา</t>
  </si>
  <si>
    <t>เนตรประชา</t>
  </si>
  <si>
    <t>เริ่มจ่าย ก.ค.59</t>
  </si>
  <si>
    <t>เริ่มจ่าย ส.ค 59</t>
  </si>
  <si>
    <t>สังวาล</t>
  </si>
  <si>
    <t>สุวนันท์</t>
  </si>
  <si>
    <t>อาชานัยนันท์</t>
  </si>
  <si>
    <t>ชายชัญ</t>
  </si>
  <si>
    <t>ศิริพร</t>
  </si>
  <si>
    <t>90/46</t>
  </si>
  <si>
    <t>นาคประพันธ์</t>
  </si>
  <si>
    <t>รับเบี้ย พ.ย.59 (งบ 60)</t>
  </si>
  <si>
    <t>ยิ่งปรางค์</t>
  </si>
  <si>
    <t>115/1</t>
  </si>
  <si>
    <t>3-3004-00345-79-1</t>
  </si>
  <si>
    <t>กมลทิพย์</t>
  </si>
  <si>
    <t>โพธิ์หมื่นทิพย์</t>
  </si>
  <si>
    <t>3- 1020-02077-82-1</t>
  </si>
  <si>
    <t>0</t>
  </si>
  <si>
    <t>ต้องระงับจ่ายเดือนต.ค.59</t>
  </si>
  <si>
    <t>กนกกร</t>
  </si>
  <si>
    <t>รับเบี้ย ธ.ค.59 (งบ 60)</t>
  </si>
  <si>
    <t>นวพล</t>
  </si>
  <si>
    <t>เจริญสุข</t>
  </si>
  <si>
    <t>91/293</t>
  </si>
  <si>
    <t>ปัญญา</t>
  </si>
  <si>
    <t>สังข์เงิน</t>
  </si>
  <si>
    <t>กมลชนน</t>
  </si>
  <si>
    <t>มากก้อน</t>
  </si>
  <si>
    <t>91/76</t>
  </si>
  <si>
    <t>ณภัทร</t>
  </si>
  <si>
    <t>ธัญณีย์(วนิดา)</t>
  </si>
  <si>
    <t>เนติพิกุลพัฒน์(ภักตร์วงศ์ทอง)</t>
  </si>
  <si>
    <t>8/15</t>
  </si>
  <si>
    <t>กรณัท</t>
  </si>
  <si>
    <t>ภิรมย์ขาว</t>
  </si>
  <si>
    <t>ระงับเบี้ย ม.ค.60</t>
  </si>
  <si>
    <t>เสียชีวิต 5 ธ.ค.59</t>
  </si>
  <si>
    <t>รับเบี้ยครั้งแรก ม.ค.60</t>
  </si>
  <si>
    <t>รับเบี้ยครั้งแรก ม.ค. 60</t>
  </si>
  <si>
    <t>เริ่มจ่าย ม.ค.60</t>
  </si>
  <si>
    <t>สนาน</t>
  </si>
  <si>
    <t>เร่มจ่าย ม.ค.60</t>
  </si>
  <si>
    <t>เข้าบัญชีธกส.</t>
  </si>
  <si>
    <t>เกิดสมนึก</t>
  </si>
  <si>
    <t>44/17</t>
  </si>
  <si>
    <t>เริ่มจ่าย มี.ค.60</t>
  </si>
  <si>
    <t>ณัฐพงศ์</t>
  </si>
  <si>
    <t>3-7306-00580-04-9</t>
  </si>
  <si>
    <t>เริ่มจ่าย เม.ย.2560</t>
  </si>
  <si>
    <t>เพชรรัตน์</t>
  </si>
  <si>
    <t>กิติศัพท์</t>
  </si>
  <si>
    <t>สรุปยอดผู้มีสิทธิรับเบี้ยยังชีพผู้สูงอายุ ประจำปีงบประมาณ พ.ศ. 2560 (แยกตามช่วงอายุ)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</si>
</sst>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yy"/>
    <numFmt numFmtId="188" formatCode="0\-0000\-00000\-00\-0"/>
    <numFmt numFmtId="189" formatCode="000\-0\-00000\-0"/>
    <numFmt numFmtId="190" formatCode="&quot;ม.&quot;0"/>
    <numFmt numFmtId="191" formatCode="&quot; ม.&quot;0"/>
    <numFmt numFmtId="192" formatCode="mmm\-yyyy"/>
    <numFmt numFmtId="193" formatCode="yyyy"/>
    <numFmt numFmtId="194" formatCode="&quot;พ.ศ. &quot;yyyy"/>
    <numFmt numFmtId="195" formatCode="d\ \ ดดด\ \ yyyy"/>
    <numFmt numFmtId="196" formatCode="d\ ดดด\ yy"/>
    <numFmt numFmtId="197" formatCode="&quot;ประจำวันที่  &quot;\ d\ ดดด\ bbbb"/>
    <numFmt numFmtId="198" formatCode="&quot;ประจำวันที่  &quot;\ d\ ดดดด\ yyyy"/>
    <numFmt numFmtId="199" formatCode="&quot;ประจำวันที่  &quot;\ d\ \ ดดดด\ \ yyyy"/>
    <numFmt numFmtId="200" formatCode="&quot;ในวันที่  &quot;d\ \ ดดดด\ \ yyyy"/>
    <numFmt numFmtId="201" formatCode="&quot;ประจำวันที่&quot;\ \ d\ \ ดดดด\ \ yyyy"/>
    <numFmt numFmtId="202" formatCode="0\ \ร\า\ย"/>
    <numFmt numFmtId="203" formatCode="0\ \ \ร\า\ย"/>
    <numFmt numFmtId="204" formatCode="d\ ดดดด\ yyyy"/>
    <numFmt numFmtId="205" formatCode="0.0"/>
    <numFmt numFmtId="206" formatCode="[$-41E]d\ mmmm\ yyyy"/>
    <numFmt numFmtId="207" formatCode="d\ \ ดดดด\ \ yyyy"/>
    <numFmt numFmtId="208" formatCode="&quot;หมู่ที่&quot;\ 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?_-;_-@_-"/>
    <numFmt numFmtId="214" formatCode="_-* #,##0_-;\-* #,##0_-;_-* &quot;-&quot;??_-;_-@_-"/>
    <numFmt numFmtId="215" formatCode="&quot;ม.&quot;\ 0"/>
    <numFmt numFmtId="216" formatCode="0\ 00000000000"/>
    <numFmt numFmtId="217" formatCode="&quot;(&quot;@&quot;)&quot;"/>
    <numFmt numFmtId="218" formatCode="&quot;งวดประจำเดือน&quot;\ \ ดดดด\ \ yyyy"/>
    <numFmt numFmtId="219" formatCode="ดดด\ yyyy"/>
    <numFmt numFmtId="220" formatCode="&quot;เสียชีวิต &quot;d\ ดดด\ yyyy"/>
    <numFmt numFmtId="221" formatCode="&quot;01&quot;000\-0\-00000\-0"/>
    <numFmt numFmtId="222" formatCode="&quot;01&quot;0000000000"/>
    <numFmt numFmtId="223" formatCode="0\1\6\2\9\-\2\8\4\9\3\-\4\-\4"/>
    <numFmt numFmtId="224" formatCode="00000\-0\-00000\-0"/>
    <numFmt numFmtId="225" formatCode="[$-D000000]0\ 0000\ 00000\ 00\ 0"/>
    <numFmt numFmtId="226" formatCode="[$-1000000]00\-0000000\-0"/>
    <numFmt numFmtId="227" formatCode="[$-1000000]0\ 0000\ 00000\ 00\ 0"/>
  </numFmts>
  <fonts count="10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5"/>
      <name val="Angsana New"/>
      <family val="1"/>
    </font>
    <font>
      <sz val="5"/>
      <color indexed="9"/>
      <name val="Angsana New"/>
      <family val="1"/>
    </font>
    <font>
      <b/>
      <sz val="5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b/>
      <sz val="16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sz val="28"/>
      <name val="Angsana New"/>
      <family val="1"/>
    </font>
    <font>
      <sz val="12"/>
      <name val="TH SarabunIT๙"/>
      <family val="2"/>
    </font>
    <font>
      <sz val="8"/>
      <name val="Angsana New"/>
      <family val="1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5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13"/>
      <color indexed="10"/>
      <name val="Angsana New"/>
      <family val="1"/>
    </font>
    <font>
      <sz val="16"/>
      <color indexed="10"/>
      <name val="Angsana New"/>
      <family val="1"/>
    </font>
    <font>
      <b/>
      <sz val="11"/>
      <color indexed="10"/>
      <name val="Angsana New"/>
      <family val="1"/>
    </font>
    <font>
      <sz val="16"/>
      <color indexed="10"/>
      <name val="TH SarabunIT๙"/>
      <family val="2"/>
    </font>
    <font>
      <b/>
      <sz val="16"/>
      <color indexed="10"/>
      <name val="Angsana New"/>
      <family val="1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7"/>
      <name val="Angsana New"/>
      <family val="1"/>
    </font>
    <font>
      <sz val="12"/>
      <color indexed="10"/>
      <name val="Angsana New"/>
      <family val="1"/>
    </font>
    <font>
      <sz val="14"/>
      <color indexed="36"/>
      <name val="Angsana New"/>
      <family val="1"/>
    </font>
    <font>
      <b/>
      <sz val="11"/>
      <color indexed="36"/>
      <name val="Angsana New"/>
      <family val="1"/>
    </font>
    <font>
      <b/>
      <sz val="14"/>
      <color indexed="17"/>
      <name val="Angsana New"/>
      <family val="1"/>
    </font>
    <font>
      <b/>
      <sz val="14"/>
      <color indexed="36"/>
      <name val="Angsana New"/>
      <family val="1"/>
    </font>
    <font>
      <b/>
      <sz val="16"/>
      <color indexed="36"/>
      <name val="Angsana New"/>
      <family val="1"/>
    </font>
    <font>
      <sz val="14"/>
      <color indexed="30"/>
      <name val="Angsana New"/>
      <family val="1"/>
    </font>
    <font>
      <sz val="14"/>
      <color indexed="17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5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3"/>
      <color rgb="FFFF0000"/>
      <name val="Angsana New"/>
      <family val="1"/>
    </font>
    <font>
      <b/>
      <sz val="11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TH SarabunIT๙"/>
      <family val="2"/>
    </font>
    <font>
      <b/>
      <sz val="16"/>
      <color rgb="FFFF0000"/>
      <name val="Angsana New"/>
      <family val="1"/>
    </font>
    <font>
      <b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b/>
      <sz val="11"/>
      <color rgb="FF00B050"/>
      <name val="Angsana New"/>
      <family val="1"/>
    </font>
    <font>
      <sz val="12"/>
      <color rgb="FFFF0000"/>
      <name val="Angsana New"/>
      <family val="1"/>
    </font>
    <font>
      <sz val="14"/>
      <color rgb="FF7030A0"/>
      <name val="Angsana New"/>
      <family val="1"/>
    </font>
    <font>
      <b/>
      <sz val="11"/>
      <color rgb="FF7030A0"/>
      <name val="Angsana New"/>
      <family val="1"/>
    </font>
    <font>
      <b/>
      <sz val="14"/>
      <color rgb="FF00B050"/>
      <name val="Angsana New"/>
      <family val="1"/>
    </font>
    <font>
      <b/>
      <sz val="14"/>
      <color rgb="FF7030A0"/>
      <name val="Angsana New"/>
      <family val="1"/>
    </font>
    <font>
      <b/>
      <sz val="16"/>
      <color rgb="FF7030A0"/>
      <name val="Angsana New"/>
      <family val="1"/>
    </font>
    <font>
      <sz val="14"/>
      <color rgb="FF0033CC"/>
      <name val="Angsana New"/>
      <family val="1"/>
    </font>
    <font>
      <sz val="14"/>
      <color rgb="FF00B05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400019645690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4" fillId="33" borderId="0" xfId="0" applyFont="1" applyFill="1" applyAlignment="1">
      <alignment vertical="center" shrinkToFit="1"/>
    </xf>
    <xf numFmtId="3" fontId="5" fillId="33" borderId="0" xfId="33" applyNumberFormat="1" applyFont="1" applyFill="1" applyAlignment="1">
      <alignment horizontal="center" vertical="center" shrinkToFit="1"/>
    </xf>
    <xf numFmtId="187" fontId="6" fillId="33" borderId="0" xfId="0" applyNumberFormat="1" applyFont="1" applyFill="1" applyAlignment="1">
      <alignment horizontal="left" vertical="center" shrinkToFit="1"/>
    </xf>
    <xf numFmtId="0" fontId="5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vertical="center" shrinkToFit="1"/>
    </xf>
    <xf numFmtId="3" fontId="8" fillId="33" borderId="10" xfId="33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3" fontId="12" fillId="33" borderId="0" xfId="33" applyNumberFormat="1" applyFont="1" applyFill="1" applyBorder="1" applyAlignment="1">
      <alignment horizontal="center" vertical="center" shrinkToFit="1"/>
    </xf>
    <xf numFmtId="0" fontId="8" fillId="33" borderId="11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2" xfId="0" applyNumberFormat="1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 vertical="center" shrinkToFit="1"/>
    </xf>
    <xf numFmtId="3" fontId="13" fillId="33" borderId="10" xfId="33" applyNumberFormat="1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vertical="center" shrinkToFit="1"/>
    </xf>
    <xf numFmtId="0" fontId="13" fillId="33" borderId="12" xfId="0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horizontal="center" vertical="center" shrinkToFit="1"/>
    </xf>
    <xf numFmtId="190" fontId="13" fillId="33" borderId="12" xfId="0" applyNumberFormat="1" applyFont="1" applyFill="1" applyBorder="1" applyAlignment="1">
      <alignment horizontal="left" vertical="center" shrinkToFit="1"/>
    </xf>
    <xf numFmtId="188" fontId="13" fillId="33" borderId="10" xfId="0" applyNumberFormat="1" applyFont="1" applyFill="1" applyBorder="1" applyAlignment="1">
      <alignment horizontal="center" vertical="center" shrinkToFit="1"/>
    </xf>
    <xf numFmtId="187" fontId="13" fillId="33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214" fontId="13" fillId="33" borderId="12" xfId="33" applyNumberFormat="1" applyFont="1" applyFill="1" applyBorder="1" applyAlignment="1">
      <alignment horizontal="right" vertical="center" shrinkToFit="1"/>
    </xf>
    <xf numFmtId="214" fontId="12" fillId="33" borderId="12" xfId="33" applyNumberFormat="1" applyFont="1" applyFill="1" applyBorder="1" applyAlignment="1">
      <alignment horizontal="right" vertical="center" shrinkToFit="1"/>
    </xf>
    <xf numFmtId="3" fontId="4" fillId="33" borderId="0" xfId="33" applyNumberFormat="1" applyFont="1" applyFill="1" applyBorder="1" applyAlignment="1">
      <alignment horizontal="center" vertical="center" shrinkToFit="1"/>
    </xf>
    <xf numFmtId="208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shrinkToFit="1"/>
    </xf>
    <xf numFmtId="3" fontId="4" fillId="33" borderId="0" xfId="0" applyNumberFormat="1" applyFont="1" applyFill="1" applyAlignment="1">
      <alignment horizontal="center" vertical="center" shrinkToFit="1"/>
    </xf>
    <xf numFmtId="43" fontId="4" fillId="33" borderId="16" xfId="33" applyFont="1" applyFill="1" applyBorder="1" applyAlignment="1">
      <alignment vertical="center"/>
    </xf>
    <xf numFmtId="208" fontId="4" fillId="33" borderId="0" xfId="0" applyNumberFormat="1" applyFont="1" applyFill="1" applyAlignment="1">
      <alignment horizontal="center" vertical="center"/>
    </xf>
    <xf numFmtId="43" fontId="4" fillId="33" borderId="17" xfId="33" applyFont="1" applyFill="1" applyBorder="1" applyAlignment="1">
      <alignment vertical="center"/>
    </xf>
    <xf numFmtId="214" fontId="13" fillId="33" borderId="10" xfId="33" applyNumberFormat="1" applyFont="1" applyFill="1" applyBorder="1" applyAlignment="1">
      <alignment horizontal="right" vertical="center" shrinkToFit="1"/>
    </xf>
    <xf numFmtId="214" fontId="12" fillId="33" borderId="10" xfId="33" applyNumberFormat="1" applyFont="1" applyFill="1" applyBorder="1" applyAlignment="1">
      <alignment horizontal="right" vertical="center" shrinkToFit="1"/>
    </xf>
    <xf numFmtId="208" fontId="4" fillId="33" borderId="18" xfId="0" applyNumberFormat="1" applyFont="1" applyFill="1" applyBorder="1" applyAlignment="1">
      <alignment horizontal="center" vertical="center"/>
    </xf>
    <xf numFmtId="43" fontId="4" fillId="33" borderId="19" xfId="33" applyFont="1" applyFill="1" applyBorder="1" applyAlignment="1">
      <alignment vertical="center"/>
    </xf>
    <xf numFmtId="0" fontId="13" fillId="33" borderId="0" xfId="0" applyFont="1" applyFill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3" fontId="4" fillId="33" borderId="21" xfId="0" applyNumberFormat="1" applyFont="1" applyFill="1" applyBorder="1" applyAlignment="1">
      <alignment horizontal="center" vertical="center" shrinkToFit="1"/>
    </xf>
    <xf numFmtId="43" fontId="3" fillId="33" borderId="22" xfId="33" applyFont="1" applyFill="1" applyBorder="1" applyAlignment="1">
      <alignment vertical="center" shrinkToFit="1"/>
    </xf>
    <xf numFmtId="187" fontId="14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 shrinkToFit="1"/>
    </xf>
    <xf numFmtId="49" fontId="13" fillId="33" borderId="0" xfId="0" applyNumberFormat="1" applyFont="1" applyFill="1" applyAlignment="1">
      <alignment horizontal="left" vertical="center" shrinkToFit="1"/>
    </xf>
    <xf numFmtId="188" fontId="13" fillId="33" borderId="0" xfId="0" applyNumberFormat="1" applyFont="1" applyFill="1" applyAlignment="1">
      <alignment horizontal="center" vertical="center" shrinkToFit="1"/>
    </xf>
    <xf numFmtId="187" fontId="13" fillId="33" borderId="0" xfId="0" applyNumberFormat="1" applyFont="1" applyFill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49" fontId="13" fillId="33" borderId="0" xfId="0" applyNumberFormat="1" applyFont="1" applyFill="1" applyAlignment="1">
      <alignment vertical="center" shrinkToFit="1"/>
    </xf>
    <xf numFmtId="0" fontId="3" fillId="33" borderId="0" xfId="0" applyNumberFormat="1" applyFont="1" applyFill="1" applyAlignment="1">
      <alignment vertical="center" shrinkToFit="1"/>
    </xf>
    <xf numFmtId="0" fontId="4" fillId="33" borderId="0" xfId="0" applyNumberFormat="1" applyFont="1" applyFill="1" applyAlignment="1">
      <alignment vertical="center" shrinkToFit="1"/>
    </xf>
    <xf numFmtId="0" fontId="13" fillId="33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 shrinkToFit="1"/>
    </xf>
    <xf numFmtId="187" fontId="13" fillId="33" borderId="0" xfId="0" applyNumberFormat="1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vertical="center" shrinkToFit="1"/>
    </xf>
    <xf numFmtId="49" fontId="8" fillId="34" borderId="14" xfId="0" applyNumberFormat="1" applyFont="1" applyFill="1" applyBorder="1" applyAlignment="1">
      <alignment horizontal="center" vertical="center" shrinkToFit="1"/>
    </xf>
    <xf numFmtId="190" fontId="8" fillId="34" borderId="14" xfId="0" applyNumberFormat="1" applyFont="1" applyFill="1" applyBorder="1" applyAlignment="1">
      <alignment horizontal="left" vertical="center" shrinkToFit="1"/>
    </xf>
    <xf numFmtId="3" fontId="8" fillId="34" borderId="11" xfId="33" applyNumberFormat="1" applyFont="1" applyFill="1" applyBorder="1" applyAlignment="1">
      <alignment horizontal="right" vertical="center"/>
    </xf>
    <xf numFmtId="187" fontId="8" fillId="34" borderId="11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3" fontId="8" fillId="34" borderId="23" xfId="33" applyNumberFormat="1" applyFont="1" applyFill="1" applyBorder="1" applyAlignment="1">
      <alignment horizontal="right" vertical="center" shrinkToFit="1"/>
    </xf>
    <xf numFmtId="3" fontId="11" fillId="34" borderId="23" xfId="33" applyNumberFormat="1" applyFont="1" applyFill="1" applyBorder="1" applyAlignment="1">
      <alignment horizontal="right" vertical="center" shrinkToFit="1"/>
    </xf>
    <xf numFmtId="0" fontId="8" fillId="34" borderId="11" xfId="0" applyFont="1" applyFill="1" applyBorder="1" applyAlignment="1">
      <alignment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190" fontId="8" fillId="34" borderId="11" xfId="0" applyNumberFormat="1" applyFont="1" applyFill="1" applyBorder="1" applyAlignment="1">
      <alignment horizontal="left" vertical="center" shrinkToFit="1"/>
    </xf>
    <xf numFmtId="188" fontId="8" fillId="34" borderId="11" xfId="0" applyNumberFormat="1" applyFont="1" applyFill="1" applyBorder="1" applyAlignment="1">
      <alignment horizontal="center" vertical="center" shrinkToFit="1"/>
    </xf>
    <xf numFmtId="0" fontId="8" fillId="34" borderId="11" xfId="0" applyNumberFormat="1" applyFont="1" applyFill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right" vertical="center"/>
    </xf>
    <xf numFmtId="49" fontId="11" fillId="34" borderId="12" xfId="0" applyNumberFormat="1" applyFont="1" applyFill="1" applyBorder="1" applyAlignment="1">
      <alignment horizontal="center" vertical="center" shrinkToFit="1"/>
    </xf>
    <xf numFmtId="3" fontId="13" fillId="33" borderId="0" xfId="33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188" fontId="13" fillId="33" borderId="0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vertical="center" shrinkToFit="1"/>
    </xf>
    <xf numFmtId="49" fontId="12" fillId="33" borderId="0" xfId="0" applyNumberFormat="1" applyFont="1" applyFill="1" applyBorder="1" applyAlignment="1">
      <alignment vertical="center" shrinkToFit="1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49" fontId="12" fillId="33" borderId="0" xfId="0" applyNumberFormat="1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left" vertical="center" shrinkToFit="1"/>
    </xf>
    <xf numFmtId="0" fontId="13" fillId="33" borderId="12" xfId="0" applyFont="1" applyFill="1" applyBorder="1" applyAlignment="1">
      <alignment horizontal="left" vertical="center" shrinkToFit="1"/>
    </xf>
    <xf numFmtId="3" fontId="13" fillId="33" borderId="0" xfId="33" applyNumberFormat="1" applyFont="1" applyFill="1" applyAlignment="1">
      <alignment horizontal="center" vertical="center" shrinkToFit="1"/>
    </xf>
    <xf numFmtId="49" fontId="12" fillId="33" borderId="0" xfId="0" applyNumberFormat="1" applyFont="1" applyFill="1" applyAlignment="1">
      <alignment vertical="center" shrinkToFit="1"/>
    </xf>
    <xf numFmtId="49" fontId="12" fillId="33" borderId="0" xfId="0" applyNumberFormat="1" applyFont="1" applyFill="1" applyAlignment="1">
      <alignment horizontal="center" vertical="center" shrinkToFit="1"/>
    </xf>
    <xf numFmtId="0" fontId="80" fillId="33" borderId="0" xfId="0" applyFont="1" applyFill="1" applyAlignment="1">
      <alignment vertical="center" shrinkToFit="1"/>
    </xf>
    <xf numFmtId="0" fontId="81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shrinkToFit="1"/>
    </xf>
    <xf numFmtId="0" fontId="82" fillId="33" borderId="24" xfId="0" applyFont="1" applyFill="1" applyBorder="1" applyAlignment="1">
      <alignment horizontal="center" vertical="center" shrinkToFit="1"/>
    </xf>
    <xf numFmtId="0" fontId="81" fillId="34" borderId="11" xfId="0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 shrinkToFit="1"/>
    </xf>
    <xf numFmtId="0" fontId="82" fillId="33" borderId="0" xfId="0" applyFont="1" applyFill="1" applyAlignment="1">
      <alignment horizontal="center" vertical="center" shrinkToFit="1"/>
    </xf>
    <xf numFmtId="14" fontId="83" fillId="33" borderId="0" xfId="0" applyNumberFormat="1" applyFont="1" applyFill="1" applyBorder="1" applyAlignment="1">
      <alignment horizontal="center" vertical="center" shrinkToFit="1"/>
    </xf>
    <xf numFmtId="14" fontId="83" fillId="33" borderId="0" xfId="0" applyNumberFormat="1" applyFont="1" applyFill="1" applyBorder="1" applyAlignment="1">
      <alignment horizontal="left" vertical="center"/>
    </xf>
    <xf numFmtId="0" fontId="82" fillId="33" borderId="0" xfId="0" applyFont="1" applyFill="1" applyAlignment="1">
      <alignment vertical="center" shrinkToFit="1"/>
    </xf>
    <xf numFmtId="3" fontId="84" fillId="33" borderId="0" xfId="0" applyNumberFormat="1" applyFont="1" applyFill="1" applyBorder="1" applyAlignment="1">
      <alignment horizontal="center" vertical="center" shrinkToFit="1"/>
    </xf>
    <xf numFmtId="43" fontId="83" fillId="33" borderId="0" xfId="33" applyFont="1" applyFill="1" applyBorder="1" applyAlignment="1">
      <alignment vertical="center" shrinkToFit="1"/>
    </xf>
    <xf numFmtId="0" fontId="81" fillId="33" borderId="0" xfId="0" applyFont="1" applyFill="1" applyAlignment="1">
      <alignment horizontal="right" vertical="center"/>
    </xf>
    <xf numFmtId="49" fontId="82" fillId="33" borderId="0" xfId="0" applyNumberFormat="1" applyFont="1" applyFill="1" applyAlignment="1">
      <alignment horizontal="center" vertical="center" shrinkToFit="1"/>
    </xf>
    <xf numFmtId="187" fontId="82" fillId="33" borderId="0" xfId="0" applyNumberFormat="1" applyFont="1" applyFill="1" applyAlignment="1">
      <alignment horizontal="center" vertical="center" shrinkToFit="1"/>
    </xf>
    <xf numFmtId="0" fontId="85" fillId="33" borderId="0" xfId="0" applyFont="1" applyFill="1" applyBorder="1" applyAlignment="1">
      <alignment horizontal="left" vertical="center" indent="1"/>
    </xf>
    <xf numFmtId="0" fontId="85" fillId="33" borderId="0" xfId="0" applyFont="1" applyFill="1" applyBorder="1" applyAlignment="1">
      <alignment vertical="center"/>
    </xf>
    <xf numFmtId="188" fontId="85" fillId="33" borderId="0" xfId="0" applyNumberFormat="1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left" vertical="center" indent="2"/>
    </xf>
    <xf numFmtId="0" fontId="82" fillId="33" borderId="12" xfId="0" applyFont="1" applyFill="1" applyBorder="1" applyAlignment="1">
      <alignment horizontal="center" vertical="center" shrinkToFit="1"/>
    </xf>
    <xf numFmtId="0" fontId="82" fillId="33" borderId="11" xfId="0" applyFont="1" applyFill="1" applyBorder="1" applyAlignment="1">
      <alignment horizontal="center" vertical="center" shrinkToFit="1"/>
    </xf>
    <xf numFmtId="0" fontId="81" fillId="33" borderId="10" xfId="0" applyFont="1" applyFill="1" applyBorder="1" applyAlignment="1">
      <alignment horizontal="center" vertical="center" shrinkToFit="1"/>
    </xf>
    <xf numFmtId="0" fontId="82" fillId="33" borderId="25" xfId="0" applyNumberFormat="1" applyFont="1" applyFill="1" applyBorder="1" applyAlignment="1">
      <alignment horizontal="center" vertical="center" shrinkToFit="1"/>
    </xf>
    <xf numFmtId="0" fontId="81" fillId="33" borderId="10" xfId="0" applyNumberFormat="1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5" borderId="14" xfId="33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190" fontId="8" fillId="35" borderId="14" xfId="0" applyNumberFormat="1" applyFont="1" applyFill="1" applyBorder="1" applyAlignment="1">
      <alignment horizontal="left" vertical="center" shrinkToFit="1"/>
    </xf>
    <xf numFmtId="188" fontId="8" fillId="35" borderId="14" xfId="0" applyNumberFormat="1" applyFont="1" applyFill="1" applyBorder="1" applyAlignment="1">
      <alignment horizontal="center" vertical="center" shrinkToFit="1"/>
    </xf>
    <xf numFmtId="187" fontId="8" fillId="35" borderId="14" xfId="0" applyNumberFormat="1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81" fillId="35" borderId="14" xfId="0" applyFont="1" applyFill="1" applyBorder="1" applyAlignment="1">
      <alignment horizontal="center" vertical="center" shrinkToFit="1"/>
    </xf>
    <xf numFmtId="0" fontId="8" fillId="35" borderId="14" xfId="0" applyNumberFormat="1" applyFont="1" applyFill="1" applyBorder="1" applyAlignment="1">
      <alignment horizontal="right" vertical="center"/>
    </xf>
    <xf numFmtId="0" fontId="11" fillId="35" borderId="14" xfId="0" applyNumberFormat="1" applyFont="1" applyFill="1" applyBorder="1" applyAlignment="1">
      <alignment horizontal="right" vertical="center"/>
    </xf>
    <xf numFmtId="3" fontId="8" fillId="35" borderId="0" xfId="33" applyNumberFormat="1" applyFont="1" applyFill="1" applyBorder="1" applyAlignment="1">
      <alignment horizontal="center" vertical="center" shrinkToFit="1"/>
    </xf>
    <xf numFmtId="0" fontId="8" fillId="35" borderId="0" xfId="0" applyFont="1" applyFill="1" applyBorder="1" applyAlignment="1">
      <alignment vertical="center" shrinkToFit="1"/>
    </xf>
    <xf numFmtId="49" fontId="8" fillId="35" borderId="0" xfId="0" applyNumberFormat="1" applyFont="1" applyFill="1" applyBorder="1" applyAlignment="1">
      <alignment horizontal="center" vertical="center" shrinkToFit="1"/>
    </xf>
    <xf numFmtId="190" fontId="8" fillId="35" borderId="0" xfId="0" applyNumberFormat="1" applyFont="1" applyFill="1" applyBorder="1" applyAlignment="1">
      <alignment horizontal="left" vertical="center" shrinkToFit="1"/>
    </xf>
    <xf numFmtId="0" fontId="81" fillId="35" borderId="0" xfId="0" applyFont="1" applyFill="1" applyBorder="1" applyAlignment="1">
      <alignment horizontal="center" vertical="center" shrinkToFit="1"/>
    </xf>
    <xf numFmtId="49" fontId="11" fillId="35" borderId="0" xfId="0" applyNumberFormat="1" applyFont="1" applyFill="1" applyBorder="1" applyAlignment="1">
      <alignment horizontal="center" vertical="center" shrinkToFit="1"/>
    </xf>
    <xf numFmtId="214" fontId="82" fillId="33" borderId="0" xfId="0" applyNumberFormat="1" applyFont="1" applyFill="1" applyAlignment="1">
      <alignment vertical="center" shrinkToFit="1"/>
    </xf>
    <xf numFmtId="224" fontId="84" fillId="33" borderId="10" xfId="0" applyNumberFormat="1" applyFont="1" applyFill="1" applyBorder="1" applyAlignment="1">
      <alignment horizontal="center" vertical="center" shrinkToFit="1"/>
    </xf>
    <xf numFmtId="0" fontId="82" fillId="33" borderId="13" xfId="0" applyFont="1" applyFill="1" applyBorder="1" applyAlignment="1">
      <alignment vertical="center" shrinkToFit="1"/>
    </xf>
    <xf numFmtId="0" fontId="82" fillId="33" borderId="11" xfId="0" applyFont="1" applyFill="1" applyBorder="1" applyAlignment="1">
      <alignment vertical="center" shrinkToFit="1"/>
    </xf>
    <xf numFmtId="0" fontId="82" fillId="33" borderId="12" xfId="0" applyFont="1" applyFill="1" applyBorder="1" applyAlignment="1">
      <alignment vertical="center" shrinkToFit="1"/>
    </xf>
    <xf numFmtId="188" fontId="82" fillId="33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190" fontId="8" fillId="0" borderId="0" xfId="0" applyNumberFormat="1" applyFont="1" applyFill="1" applyBorder="1" applyAlignment="1">
      <alignment horizontal="left" vertical="center" shrinkToFit="1"/>
    </xf>
    <xf numFmtId="188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3" fontId="8" fillId="34" borderId="0" xfId="33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82" fillId="33" borderId="25" xfId="0" applyFont="1" applyFill="1" applyBorder="1" applyAlignment="1">
      <alignment horizontal="center" vertical="center" shrinkToFit="1"/>
    </xf>
    <xf numFmtId="0" fontId="82" fillId="33" borderId="0" xfId="0" applyNumberFormat="1" applyFont="1" applyFill="1" applyBorder="1" applyAlignment="1">
      <alignment horizontal="center" vertical="center" shrinkToFit="1"/>
    </xf>
    <xf numFmtId="0" fontId="82" fillId="33" borderId="20" xfId="0" applyFont="1" applyFill="1" applyBorder="1" applyAlignment="1">
      <alignment horizontal="center" vertical="center" shrinkToFit="1"/>
    </xf>
    <xf numFmtId="0" fontId="82" fillId="33" borderId="22" xfId="0" applyFont="1" applyFill="1" applyBorder="1" applyAlignment="1">
      <alignment horizontal="center" vertical="center" shrinkToFit="1"/>
    </xf>
    <xf numFmtId="0" fontId="81" fillId="33" borderId="0" xfId="0" applyNumberFormat="1" applyFont="1" applyFill="1" applyBorder="1" applyAlignment="1">
      <alignment horizontal="center" vertical="center" shrinkToFit="1"/>
    </xf>
    <xf numFmtId="3" fontId="82" fillId="33" borderId="0" xfId="0" applyNumberFormat="1" applyFont="1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shrinkToFit="1"/>
    </xf>
    <xf numFmtId="49" fontId="8" fillId="34" borderId="0" xfId="0" applyNumberFormat="1" applyFont="1" applyFill="1" applyBorder="1" applyAlignment="1">
      <alignment horizontal="center" vertical="center" shrinkToFit="1"/>
    </xf>
    <xf numFmtId="190" fontId="8" fillId="34" borderId="0" xfId="0" applyNumberFormat="1" applyFont="1" applyFill="1" applyBorder="1" applyAlignment="1">
      <alignment horizontal="left" vertical="center" shrinkToFit="1"/>
    </xf>
    <xf numFmtId="188" fontId="8" fillId="34" borderId="0" xfId="0" applyNumberFormat="1" applyFont="1" applyFill="1" applyBorder="1" applyAlignment="1">
      <alignment horizontal="center" vertical="center" shrinkToFit="1"/>
    </xf>
    <xf numFmtId="187" fontId="8" fillId="34" borderId="0" xfId="0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81" fillId="34" borderId="0" xfId="0" applyFont="1" applyFill="1" applyBorder="1" applyAlignment="1">
      <alignment horizontal="center" vertical="center" shrinkToFit="1"/>
    </xf>
    <xf numFmtId="0" fontId="8" fillId="34" borderId="0" xfId="0" applyNumberFormat="1" applyFont="1" applyFill="1" applyBorder="1" applyAlignment="1">
      <alignment horizontal="right" vertical="center"/>
    </xf>
    <xf numFmtId="0" fontId="11" fillId="34" borderId="0" xfId="0" applyNumberFormat="1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center" vertical="center" shrinkToFit="1"/>
    </xf>
    <xf numFmtId="49" fontId="82" fillId="33" borderId="10" xfId="0" applyNumberFormat="1" applyFont="1" applyFill="1" applyBorder="1" applyAlignment="1">
      <alignment horizontal="center" vertical="center" shrinkToFit="1"/>
    </xf>
    <xf numFmtId="3" fontId="8" fillId="33" borderId="0" xfId="33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81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3" fontId="8" fillId="34" borderId="0" xfId="33" applyNumberFormat="1" applyFont="1" applyFill="1" applyBorder="1" applyAlignment="1">
      <alignment horizontal="right" vertical="center"/>
    </xf>
    <xf numFmtId="3" fontId="8" fillId="34" borderId="0" xfId="33" applyNumberFormat="1" applyFont="1" applyFill="1" applyBorder="1" applyAlignment="1">
      <alignment horizontal="right" vertical="center" shrinkToFit="1"/>
    </xf>
    <xf numFmtId="3" fontId="11" fillId="34" borderId="0" xfId="33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vertical="center" shrinkToFit="1"/>
    </xf>
    <xf numFmtId="3" fontId="13" fillId="0" borderId="0" xfId="33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188" fontId="13" fillId="0" borderId="0" xfId="0" applyNumberFormat="1" applyFont="1" applyFill="1" applyBorder="1" applyAlignment="1">
      <alignment horizontal="center" vertical="center" shrinkToFit="1"/>
    </xf>
    <xf numFmtId="187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3" fontId="8" fillId="0" borderId="0" xfId="33" applyNumberFormat="1" applyFont="1" applyFill="1" applyBorder="1" applyAlignment="1">
      <alignment horizontal="right" vertical="center"/>
    </xf>
    <xf numFmtId="3" fontId="8" fillId="0" borderId="0" xfId="33" applyNumberFormat="1" applyFont="1" applyFill="1" applyBorder="1" applyAlignment="1">
      <alignment horizontal="right" vertical="center" shrinkToFit="1"/>
    </xf>
    <xf numFmtId="3" fontId="11" fillId="0" borderId="0" xfId="33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vertical="center" shrinkToFit="1"/>
    </xf>
    <xf numFmtId="49" fontId="13" fillId="33" borderId="10" xfId="0" applyNumberFormat="1" applyFont="1" applyFill="1" applyBorder="1" applyAlignment="1">
      <alignment vertical="center" shrinkToFit="1"/>
    </xf>
    <xf numFmtId="0" fontId="11" fillId="35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shrinkToFit="1"/>
    </xf>
    <xf numFmtId="188" fontId="1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vertical="center" shrinkToFit="1"/>
    </xf>
    <xf numFmtId="3" fontId="8" fillId="0" borderId="10" xfId="33" applyNumberFormat="1" applyFont="1" applyFill="1" applyBorder="1" applyAlignment="1">
      <alignment horizontal="right" vertical="center" shrinkToFit="1"/>
    </xf>
    <xf numFmtId="0" fontId="8" fillId="0" borderId="1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>
      <alignment horizontal="left" vertical="center" shrinkToFit="1"/>
    </xf>
    <xf numFmtId="49" fontId="13" fillId="33" borderId="10" xfId="0" applyNumberFormat="1" applyFont="1" applyFill="1" applyBorder="1" applyAlignment="1">
      <alignment horizontal="right" vertical="center" shrinkToFit="1"/>
    </xf>
    <xf numFmtId="0" fontId="13" fillId="35" borderId="13" xfId="0" applyFont="1" applyFill="1" applyBorder="1" applyAlignment="1">
      <alignment vertical="center" shrinkToFit="1"/>
    </xf>
    <xf numFmtId="0" fontId="13" fillId="35" borderId="11" xfId="0" applyFont="1" applyFill="1" applyBorder="1" applyAlignment="1">
      <alignment vertical="center" shrinkToFit="1"/>
    </xf>
    <xf numFmtId="0" fontId="13" fillId="35" borderId="12" xfId="0" applyFont="1" applyFill="1" applyBorder="1" applyAlignment="1">
      <alignment vertical="center" shrinkToFit="1"/>
    </xf>
    <xf numFmtId="49" fontId="13" fillId="35" borderId="13" xfId="0" applyNumberFormat="1" applyFont="1" applyFill="1" applyBorder="1" applyAlignment="1">
      <alignment horizontal="center" vertical="center" shrinkToFit="1"/>
    </xf>
    <xf numFmtId="190" fontId="13" fillId="35" borderId="12" xfId="0" applyNumberFormat="1" applyFont="1" applyFill="1" applyBorder="1" applyAlignment="1">
      <alignment horizontal="left" vertical="center" shrinkToFit="1"/>
    </xf>
    <xf numFmtId="188" fontId="13" fillId="35" borderId="10" xfId="0" applyNumberFormat="1" applyFont="1" applyFill="1" applyBorder="1" applyAlignment="1">
      <alignment horizontal="center" vertical="center" shrinkToFit="1"/>
    </xf>
    <xf numFmtId="187" fontId="13" fillId="35" borderId="10" xfId="0" applyNumberFormat="1" applyFont="1" applyFill="1" applyBorder="1" applyAlignment="1">
      <alignment horizontal="center" vertical="center" shrinkToFit="1"/>
    </xf>
    <xf numFmtId="0" fontId="82" fillId="35" borderId="10" xfId="0" applyFont="1" applyFill="1" applyBorder="1" applyAlignment="1">
      <alignment horizontal="center" vertical="center" shrinkToFit="1"/>
    </xf>
    <xf numFmtId="0" fontId="82" fillId="33" borderId="10" xfId="0" applyNumberFormat="1" applyFont="1" applyFill="1" applyBorder="1" applyAlignment="1">
      <alignment horizontal="center" vertical="center" wrapText="1"/>
    </xf>
    <xf numFmtId="190" fontId="13" fillId="0" borderId="12" xfId="0" applyNumberFormat="1" applyFont="1" applyFill="1" applyBorder="1" applyAlignment="1">
      <alignment horizontal="left" vertical="center" shrinkToFit="1"/>
    </xf>
    <xf numFmtId="0" fontId="13" fillId="33" borderId="13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7" fillId="33" borderId="13" xfId="0" applyNumberFormat="1" applyFont="1" applyFill="1" applyBorder="1" applyAlignment="1">
      <alignment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vertical="center" shrinkToFit="1"/>
    </xf>
    <xf numFmtId="0" fontId="13" fillId="33" borderId="11" xfId="0" applyNumberFormat="1" applyFont="1" applyFill="1" applyBorder="1" applyAlignment="1">
      <alignment vertical="center" shrinkToFit="1"/>
    </xf>
    <xf numFmtId="0" fontId="13" fillId="33" borderId="12" xfId="0" applyNumberFormat="1" applyFont="1" applyFill="1" applyBorder="1" applyAlignment="1">
      <alignment vertical="center" shrinkToFit="1"/>
    </xf>
    <xf numFmtId="0" fontId="8" fillId="33" borderId="10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" fontId="13" fillId="33" borderId="13" xfId="0" applyNumberFormat="1" applyFont="1" applyFill="1" applyBorder="1" applyAlignment="1">
      <alignment vertical="center" shrinkToFit="1"/>
    </xf>
    <xf numFmtId="0" fontId="13" fillId="33" borderId="10" xfId="0" applyNumberFormat="1" applyFont="1" applyFill="1" applyBorder="1" applyAlignment="1">
      <alignment horizontal="center" vertical="center" shrinkToFit="1"/>
    </xf>
    <xf numFmtId="3" fontId="13" fillId="0" borderId="10" xfId="33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33" borderId="11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vertical="center" wrapText="1"/>
    </xf>
    <xf numFmtId="49" fontId="80" fillId="33" borderId="0" xfId="0" applyNumberFormat="1" applyFont="1" applyFill="1" applyAlignment="1">
      <alignment horizontal="center" vertical="center" shrinkToFit="1"/>
    </xf>
    <xf numFmtId="49" fontId="86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shrinkToFit="1"/>
    </xf>
    <xf numFmtId="224" fontId="84" fillId="33" borderId="12" xfId="33" applyNumberFormat="1" applyFont="1" applyFill="1" applyBorder="1" applyAlignment="1">
      <alignment horizontal="center" vertical="center" shrinkToFit="1"/>
    </xf>
    <xf numFmtId="224" fontId="84" fillId="33" borderId="10" xfId="33" applyNumberFormat="1" applyFont="1" applyFill="1" applyBorder="1" applyAlignment="1">
      <alignment horizontal="center" vertical="center" shrinkToFit="1"/>
    </xf>
    <xf numFmtId="49" fontId="84" fillId="33" borderId="10" xfId="0" applyNumberFormat="1" applyFont="1" applyFill="1" applyBorder="1" applyAlignment="1">
      <alignment horizontal="center" vertical="center" shrinkToFit="1"/>
    </xf>
    <xf numFmtId="49" fontId="84" fillId="35" borderId="10" xfId="0" applyNumberFormat="1" applyFont="1" applyFill="1" applyBorder="1" applyAlignment="1">
      <alignment horizontal="center" vertical="center" shrinkToFit="1"/>
    </xf>
    <xf numFmtId="49" fontId="83" fillId="35" borderId="10" xfId="0" applyNumberFormat="1" applyFont="1" applyFill="1" applyBorder="1" applyAlignment="1">
      <alignment horizontal="center" vertical="center" shrinkToFit="1"/>
    </xf>
    <xf numFmtId="49" fontId="81" fillId="33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shrinkToFit="1"/>
    </xf>
    <xf numFmtId="49" fontId="82" fillId="0" borderId="10" xfId="0" applyNumberFormat="1" applyFont="1" applyFill="1" applyBorder="1" applyAlignment="1">
      <alignment horizontal="center" vertical="center" shrinkToFi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shrinkToFit="1"/>
    </xf>
    <xf numFmtId="49" fontId="84" fillId="33" borderId="0" xfId="0" applyNumberFormat="1" applyFont="1" applyFill="1" applyAlignment="1">
      <alignment horizontal="center" vertical="center" shrinkToFit="1"/>
    </xf>
    <xf numFmtId="0" fontId="13" fillId="33" borderId="13" xfId="0" applyNumberFormat="1" applyFont="1" applyFill="1" applyBorder="1" applyAlignment="1">
      <alignment horizontal="left" vertical="center" wrapText="1"/>
    </xf>
    <xf numFmtId="49" fontId="13" fillId="36" borderId="10" xfId="0" applyNumberFormat="1" applyFont="1" applyFill="1" applyBorder="1" applyAlignment="1">
      <alignment vertical="center" shrinkToFit="1"/>
    </xf>
    <xf numFmtId="49" fontId="82" fillId="36" borderId="10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 vertical="center" shrinkToFit="1"/>
    </xf>
    <xf numFmtId="224" fontId="13" fillId="37" borderId="10" xfId="0" applyNumberFormat="1" applyFont="1" applyFill="1" applyBorder="1" applyAlignment="1">
      <alignment horizontal="center" vertical="center" shrinkToFit="1"/>
    </xf>
    <xf numFmtId="49" fontId="8" fillId="37" borderId="23" xfId="0" applyNumberFormat="1" applyFont="1" applyFill="1" applyBorder="1" applyAlignment="1">
      <alignment horizontal="center" vertical="center" shrinkToFit="1"/>
    </xf>
    <xf numFmtId="0" fontId="19" fillId="33" borderId="10" xfId="0" applyFont="1" applyFill="1" applyBorder="1" applyAlignment="1">
      <alignment horizontal="center" vertical="center" shrinkToFit="1"/>
    </xf>
    <xf numFmtId="0" fontId="19" fillId="33" borderId="13" xfId="0" applyFont="1" applyFill="1" applyBorder="1" applyAlignment="1">
      <alignment vertical="center" shrinkToFi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33" borderId="13" xfId="0" applyNumberFormat="1" applyFont="1" applyFill="1" applyBorder="1" applyAlignment="1">
      <alignment horizontal="center" vertical="center" shrinkToFit="1"/>
    </xf>
    <xf numFmtId="190" fontId="19" fillId="33" borderId="12" xfId="0" applyNumberFormat="1" applyFont="1" applyFill="1" applyBorder="1" applyAlignment="1">
      <alignment horizontal="left" vertical="center" shrinkToFit="1"/>
    </xf>
    <xf numFmtId="188" fontId="19" fillId="33" borderId="10" xfId="0" applyNumberFormat="1" applyFont="1" applyFill="1" applyBorder="1" applyAlignment="1">
      <alignment horizontal="center" vertical="center" shrinkToFit="1"/>
    </xf>
    <xf numFmtId="187" fontId="19" fillId="33" borderId="10" xfId="0" applyNumberFormat="1" applyFont="1" applyFill="1" applyBorder="1" applyAlignment="1">
      <alignment horizontal="center" vertical="center" shrinkToFit="1"/>
    </xf>
    <xf numFmtId="0" fontId="88" fillId="33" borderId="10" xfId="0" applyFont="1" applyFill="1" applyBorder="1" applyAlignment="1">
      <alignment horizontal="center" vertical="center" shrinkToFit="1"/>
    </xf>
    <xf numFmtId="214" fontId="19" fillId="33" borderId="12" xfId="33" applyNumberFormat="1" applyFont="1" applyFill="1" applyBorder="1" applyAlignment="1">
      <alignment horizontal="right" vertical="center" shrinkToFit="1"/>
    </xf>
    <xf numFmtId="0" fontId="19" fillId="33" borderId="10" xfId="0" applyFont="1" applyFill="1" applyBorder="1" applyAlignment="1">
      <alignment vertical="center" shrinkToFit="1"/>
    </xf>
    <xf numFmtId="0" fontId="19" fillId="37" borderId="10" xfId="0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88" fillId="33" borderId="13" xfId="0" applyFont="1" applyFill="1" applyBorder="1" applyAlignment="1">
      <alignment vertical="center" shrinkToFit="1"/>
    </xf>
    <xf numFmtId="0" fontId="88" fillId="0" borderId="11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49" fontId="88" fillId="33" borderId="13" xfId="0" applyNumberFormat="1" applyFont="1" applyFill="1" applyBorder="1" applyAlignment="1">
      <alignment horizontal="center" vertical="center" shrinkToFit="1"/>
    </xf>
    <xf numFmtId="190" fontId="88" fillId="33" borderId="12" xfId="0" applyNumberFormat="1" applyFont="1" applyFill="1" applyBorder="1" applyAlignment="1">
      <alignment horizontal="left" vertical="center" shrinkToFit="1"/>
    </xf>
    <xf numFmtId="188" fontId="88" fillId="33" borderId="10" xfId="0" applyNumberFormat="1" applyFont="1" applyFill="1" applyBorder="1" applyAlignment="1">
      <alignment horizontal="center" vertical="center" shrinkToFit="1"/>
    </xf>
    <xf numFmtId="187" fontId="88" fillId="33" borderId="10" xfId="0" applyNumberFormat="1" applyFont="1" applyFill="1" applyBorder="1" applyAlignment="1">
      <alignment horizontal="center" vertical="center" shrinkToFit="1"/>
    </xf>
    <xf numFmtId="214" fontId="88" fillId="33" borderId="12" xfId="33" applyNumberFormat="1" applyFont="1" applyFill="1" applyBorder="1" applyAlignment="1">
      <alignment horizontal="right" vertical="center" shrinkToFit="1"/>
    </xf>
    <xf numFmtId="224" fontId="88" fillId="37" borderId="12" xfId="33" applyNumberFormat="1" applyFont="1" applyFill="1" applyBorder="1" applyAlignment="1">
      <alignment horizontal="center" vertical="center" shrinkToFit="1"/>
    </xf>
    <xf numFmtId="224" fontId="19" fillId="37" borderId="10" xfId="33" applyNumberFormat="1" applyFont="1" applyFill="1" applyBorder="1" applyAlignment="1">
      <alignment horizontal="center" vertical="center" shrinkToFit="1"/>
    </xf>
    <xf numFmtId="214" fontId="19" fillId="33" borderId="10" xfId="33" applyNumberFormat="1" applyFont="1" applyFill="1" applyBorder="1" applyAlignment="1">
      <alignment horizontal="right" vertical="center" shrinkToFit="1"/>
    </xf>
    <xf numFmtId="224" fontId="19" fillId="37" borderId="10" xfId="0" applyNumberFormat="1" applyFont="1" applyFill="1" applyBorder="1" applyAlignment="1">
      <alignment horizontal="center" vertical="center" shrinkToFit="1"/>
    </xf>
    <xf numFmtId="49" fontId="88" fillId="0" borderId="11" xfId="0" applyNumberFormat="1" applyFont="1" applyBorder="1" applyAlignment="1">
      <alignment vertical="center"/>
    </xf>
    <xf numFmtId="49" fontId="88" fillId="0" borderId="12" xfId="0" applyNumberFormat="1" applyFont="1" applyBorder="1" applyAlignment="1">
      <alignment vertical="center"/>
    </xf>
    <xf numFmtId="49" fontId="20" fillId="33" borderId="13" xfId="0" applyNumberFormat="1" applyFont="1" applyFill="1" applyBorder="1" applyAlignment="1">
      <alignment horizontal="center" vertical="center" shrinkToFit="1"/>
    </xf>
    <xf numFmtId="190" fontId="20" fillId="33" borderId="12" xfId="0" applyNumberFormat="1" applyFont="1" applyFill="1" applyBorder="1" applyAlignment="1">
      <alignment horizontal="left" vertical="center" shrinkToFit="1"/>
    </xf>
    <xf numFmtId="224" fontId="19" fillId="37" borderId="12" xfId="33" applyNumberFormat="1" applyFont="1" applyFill="1" applyBorder="1" applyAlignment="1">
      <alignment horizontal="center" vertical="center" shrinkToFit="1"/>
    </xf>
    <xf numFmtId="3" fontId="3" fillId="34" borderId="0" xfId="33" applyNumberFormat="1" applyFont="1" applyFill="1" applyBorder="1" applyAlignment="1">
      <alignment horizontal="right" vertical="center"/>
    </xf>
    <xf numFmtId="187" fontId="3" fillId="34" borderId="0" xfId="0" applyNumberFormat="1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89" fillId="34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 vertical="center" shrinkToFit="1"/>
    </xf>
    <xf numFmtId="0" fontId="92" fillId="0" borderId="10" xfId="0" applyFont="1" applyFill="1" applyBorder="1" applyAlignment="1">
      <alignment horizontal="center" vertical="center" shrinkToFit="1"/>
    </xf>
    <xf numFmtId="49" fontId="92" fillId="0" borderId="10" xfId="0" applyNumberFormat="1" applyFont="1" applyFill="1" applyBorder="1" applyAlignment="1">
      <alignment horizontal="center" vertical="center" shrinkToFit="1"/>
    </xf>
    <xf numFmtId="49" fontId="92" fillId="33" borderId="10" xfId="0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vertical="center"/>
    </xf>
    <xf numFmtId="0" fontId="93" fillId="33" borderId="1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214" fontId="16" fillId="33" borderId="12" xfId="33" applyNumberFormat="1" applyFont="1" applyFill="1" applyBorder="1" applyAlignment="1">
      <alignment horizontal="right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4" fillId="33" borderId="0" xfId="0" applyNumberFormat="1" applyFont="1" applyFill="1" applyBorder="1" applyAlignment="1">
      <alignment vertical="center" shrinkToFit="1"/>
    </xf>
    <xf numFmtId="0" fontId="13" fillId="33" borderId="11" xfId="0" applyNumberFormat="1" applyFont="1" applyFill="1" applyBorder="1" applyAlignment="1">
      <alignment horizontal="center" vertical="center" shrinkToFit="1"/>
    </xf>
    <xf numFmtId="16" fontId="13" fillId="33" borderId="11" xfId="0" applyNumberFormat="1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vertical="center" shrinkToFit="1"/>
    </xf>
    <xf numFmtId="0" fontId="94" fillId="33" borderId="13" xfId="0" applyFont="1" applyFill="1" applyBorder="1" applyAlignment="1">
      <alignment vertical="center" shrinkToFit="1"/>
    </xf>
    <xf numFmtId="0" fontId="94" fillId="33" borderId="11" xfId="0" applyFont="1" applyFill="1" applyBorder="1" applyAlignment="1">
      <alignment vertical="center" shrinkToFit="1"/>
    </xf>
    <xf numFmtId="0" fontId="94" fillId="33" borderId="12" xfId="0" applyFont="1" applyFill="1" applyBorder="1" applyAlignment="1">
      <alignment vertical="center" shrinkToFit="1"/>
    </xf>
    <xf numFmtId="49" fontId="95" fillId="33" borderId="10" xfId="0" applyNumberFormat="1" applyFont="1" applyFill="1" applyBorder="1" applyAlignment="1">
      <alignment horizontal="center" vertical="center" shrinkToFit="1"/>
    </xf>
    <xf numFmtId="0" fontId="94" fillId="36" borderId="13" xfId="0" applyFont="1" applyFill="1" applyBorder="1" applyAlignment="1">
      <alignment vertical="center" shrinkToFit="1"/>
    </xf>
    <xf numFmtId="0" fontId="94" fillId="36" borderId="11" xfId="0" applyFont="1" applyFill="1" applyBorder="1" applyAlignment="1">
      <alignment vertical="center" shrinkToFit="1"/>
    </xf>
    <xf numFmtId="0" fontId="94" fillId="36" borderId="12" xfId="0" applyFont="1" applyFill="1" applyBorder="1" applyAlignment="1">
      <alignment vertical="center" shrinkToFit="1"/>
    </xf>
    <xf numFmtId="0" fontId="96" fillId="0" borderId="10" xfId="0" applyFont="1" applyFill="1" applyBorder="1" applyAlignment="1">
      <alignment horizontal="center" vertical="center" shrinkToFit="1"/>
    </xf>
    <xf numFmtId="49" fontId="97" fillId="33" borderId="10" xfId="0" applyNumberFormat="1" applyFont="1" applyFill="1" applyBorder="1" applyAlignment="1">
      <alignment horizontal="center" vertical="center" shrinkToFit="1"/>
    </xf>
    <xf numFmtId="49" fontId="98" fillId="33" borderId="1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49" fontId="82" fillId="33" borderId="11" xfId="0" applyNumberFormat="1" applyFont="1" applyFill="1" applyBorder="1" applyAlignment="1">
      <alignment horizontal="center" vertical="center" shrinkToFit="1"/>
    </xf>
    <xf numFmtId="49" fontId="82" fillId="33" borderId="12" xfId="0" applyNumberFormat="1" applyFont="1" applyFill="1" applyBorder="1" applyAlignment="1">
      <alignment horizontal="left" vertical="center" shrinkToFit="1"/>
    </xf>
    <xf numFmtId="187" fontId="82" fillId="35" borderId="10" xfId="0" applyNumberFormat="1" applyFont="1" applyFill="1" applyBorder="1" applyAlignment="1">
      <alignment horizontal="center" vertical="center" shrinkToFit="1"/>
    </xf>
    <xf numFmtId="49" fontId="82" fillId="33" borderId="10" xfId="0" applyNumberFormat="1" applyFont="1" applyFill="1" applyBorder="1" applyAlignment="1">
      <alignment horizontal="right" vertical="center" shrinkToFit="1"/>
    </xf>
    <xf numFmtId="49" fontId="82" fillId="33" borderId="10" xfId="0" applyNumberFormat="1" applyFont="1" applyFill="1" applyBorder="1" applyAlignment="1">
      <alignment vertical="center" shrinkToFit="1"/>
    </xf>
    <xf numFmtId="49" fontId="86" fillId="33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left" vertical="center" shrinkToFit="1"/>
    </xf>
    <xf numFmtId="49" fontId="99" fillId="33" borderId="10" xfId="0" applyNumberFormat="1" applyFont="1" applyFill="1" applyBorder="1" applyAlignment="1">
      <alignment horizontal="center" vertical="center" shrinkToFit="1"/>
    </xf>
    <xf numFmtId="0" fontId="99" fillId="33" borderId="13" xfId="0" applyFont="1" applyFill="1" applyBorder="1" applyAlignment="1">
      <alignment vertical="center" shrinkToFit="1"/>
    </xf>
    <xf numFmtId="0" fontId="99" fillId="33" borderId="11" xfId="0" applyFont="1" applyFill="1" applyBorder="1" applyAlignment="1">
      <alignment vertical="center" shrinkToFit="1"/>
    </xf>
    <xf numFmtId="0" fontId="99" fillId="33" borderId="12" xfId="0" applyFont="1" applyFill="1" applyBorder="1" applyAlignment="1">
      <alignment vertical="center" shrinkToFit="1"/>
    </xf>
    <xf numFmtId="0" fontId="82" fillId="35" borderId="13" xfId="0" applyFont="1" applyFill="1" applyBorder="1" applyAlignment="1">
      <alignment vertical="center" shrinkToFit="1"/>
    </xf>
    <xf numFmtId="0" fontId="82" fillId="35" borderId="11" xfId="0" applyFont="1" applyFill="1" applyBorder="1" applyAlignment="1">
      <alignment vertical="center" shrinkToFit="1"/>
    </xf>
    <xf numFmtId="0" fontId="82" fillId="35" borderId="12" xfId="0" applyFont="1" applyFill="1" applyBorder="1" applyAlignment="1">
      <alignment vertical="center" shrinkToFit="1"/>
    </xf>
    <xf numFmtId="49" fontId="82" fillId="35" borderId="13" xfId="0" applyNumberFormat="1" applyFont="1" applyFill="1" applyBorder="1" applyAlignment="1">
      <alignment horizontal="center" vertical="center" shrinkToFit="1"/>
    </xf>
    <xf numFmtId="190" fontId="82" fillId="35" borderId="12" xfId="0" applyNumberFormat="1" applyFont="1" applyFill="1" applyBorder="1" applyAlignment="1">
      <alignment horizontal="left" vertical="center" shrinkToFit="1"/>
    </xf>
    <xf numFmtId="188" fontId="82" fillId="35" borderId="10" xfId="0" applyNumberFormat="1" applyFont="1" applyFill="1" applyBorder="1" applyAlignment="1">
      <alignment horizontal="center" vertical="center" shrinkToFit="1"/>
    </xf>
    <xf numFmtId="0" fontId="84" fillId="35" borderId="10" xfId="0" applyNumberFormat="1" applyFont="1" applyFill="1" applyBorder="1" applyAlignment="1">
      <alignment horizontal="right" vertical="center"/>
    </xf>
    <xf numFmtId="0" fontId="82" fillId="33" borderId="0" xfId="0" applyFont="1" applyFill="1" applyBorder="1" applyAlignment="1">
      <alignment horizontal="left" vertical="center" shrinkToFit="1"/>
    </xf>
    <xf numFmtId="0" fontId="82" fillId="33" borderId="0" xfId="0" applyFont="1" applyFill="1" applyBorder="1" applyAlignment="1">
      <alignment horizontal="left" vertical="center" shrinkToFit="1"/>
    </xf>
    <xf numFmtId="0" fontId="82" fillId="33" borderId="0" xfId="0" applyFont="1" applyFill="1" applyBorder="1" applyAlignment="1">
      <alignment horizontal="left" vertical="center" shrinkToFit="1"/>
    </xf>
    <xf numFmtId="0" fontId="100" fillId="33" borderId="11" xfId="0" applyFont="1" applyFill="1" applyBorder="1" applyAlignment="1">
      <alignment vertical="center" shrinkToFit="1"/>
    </xf>
    <xf numFmtId="0" fontId="23" fillId="0" borderId="12" xfId="0" applyFont="1" applyBorder="1" applyAlignment="1">
      <alignment vertical="center"/>
    </xf>
    <xf numFmtId="0" fontId="82" fillId="33" borderId="0" xfId="0" applyFont="1" applyFill="1" applyBorder="1" applyAlignment="1">
      <alignment horizontal="left" vertical="center" shrinkToFit="1"/>
    </xf>
    <xf numFmtId="0" fontId="82" fillId="33" borderId="0" xfId="0" applyFont="1" applyFill="1" applyBorder="1" applyAlignment="1">
      <alignment horizontal="left" vertical="center" shrinkToFit="1"/>
    </xf>
    <xf numFmtId="187" fontId="13" fillId="0" borderId="10" xfId="0" applyNumberFormat="1" applyFont="1" applyFill="1" applyBorder="1" applyAlignment="1">
      <alignment horizontal="center" vertical="center" shrinkToFit="1"/>
    </xf>
    <xf numFmtId="0" fontId="8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 vertical="center" shrinkToFit="1"/>
    </xf>
    <xf numFmtId="0" fontId="94" fillId="0" borderId="13" xfId="0" applyFont="1" applyFill="1" applyBorder="1" applyAlignment="1">
      <alignment vertical="center" shrinkToFit="1"/>
    </xf>
    <xf numFmtId="0" fontId="94" fillId="0" borderId="11" xfId="0" applyFont="1" applyFill="1" applyBorder="1" applyAlignment="1">
      <alignment vertical="center" shrinkToFit="1"/>
    </xf>
    <xf numFmtId="0" fontId="94" fillId="0" borderId="12" xfId="0" applyFont="1" applyFill="1" applyBorder="1" applyAlignment="1">
      <alignment vertical="center" shrinkToFit="1"/>
    </xf>
    <xf numFmtId="16" fontId="1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82" fillId="33" borderId="10" xfId="0" applyNumberFormat="1" applyFont="1" applyFill="1" applyBorder="1" applyAlignment="1">
      <alignment horizontal="center" vertical="center" shrinkToFit="1"/>
    </xf>
    <xf numFmtId="0" fontId="82" fillId="33" borderId="10" xfId="0" applyFont="1" applyFill="1" applyBorder="1" applyAlignment="1">
      <alignment horizontal="center" vertical="center" shrinkToFit="1"/>
    </xf>
    <xf numFmtId="0" fontId="82" fillId="33" borderId="0" xfId="0" applyFont="1" applyFill="1" applyBorder="1" applyAlignment="1">
      <alignment horizontal="left" vertical="center" shrinkToFit="1"/>
    </xf>
    <xf numFmtId="0" fontId="94" fillId="36" borderId="10" xfId="0" applyFont="1" applyFill="1" applyBorder="1" applyAlignment="1">
      <alignment vertical="center" shrinkToFit="1"/>
    </xf>
    <xf numFmtId="1" fontId="94" fillId="36" borderId="10" xfId="0" applyNumberFormat="1" applyFont="1" applyFill="1" applyBorder="1" applyAlignment="1">
      <alignment horizontal="center" vertical="center" shrinkToFit="1"/>
    </xf>
    <xf numFmtId="0" fontId="94" fillId="36" borderId="13" xfId="0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 shrinkToFit="1"/>
    </xf>
    <xf numFmtId="49" fontId="82" fillId="33" borderId="0" xfId="0" applyNumberFormat="1" applyFont="1" applyFill="1" applyBorder="1" applyAlignment="1">
      <alignment horizontal="center" vertical="center" shrinkToFit="1"/>
    </xf>
    <xf numFmtId="0" fontId="81" fillId="33" borderId="25" xfId="0" applyFont="1" applyFill="1" applyBorder="1" applyAlignment="1">
      <alignment horizontal="center" vertical="center" shrinkToFit="1"/>
    </xf>
    <xf numFmtId="0" fontId="81" fillId="33" borderId="25" xfId="0" applyNumberFormat="1" applyFont="1" applyFill="1" applyBorder="1" applyAlignment="1">
      <alignment horizontal="center" vertical="center" shrinkToFit="1"/>
    </xf>
    <xf numFmtId="0" fontId="81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81" fillId="33" borderId="21" xfId="0" applyFont="1" applyFill="1" applyBorder="1" applyAlignment="1">
      <alignment horizontal="center" vertical="center" shrinkToFit="1"/>
    </xf>
    <xf numFmtId="3" fontId="81" fillId="33" borderId="21" xfId="0" applyNumberFormat="1" applyFont="1" applyFill="1" applyBorder="1" applyAlignment="1">
      <alignment horizontal="center" vertical="center" shrinkToFit="1"/>
    </xf>
    <xf numFmtId="225" fontId="24" fillId="0" borderId="26" xfId="0" applyNumberFormat="1" applyFont="1" applyBorder="1" applyAlignment="1">
      <alignment horizontal="center"/>
    </xf>
    <xf numFmtId="218" fontId="7" fillId="33" borderId="18" xfId="0" applyNumberFormat="1" applyFont="1" applyFill="1" applyBorder="1" applyAlignment="1" quotePrefix="1">
      <alignment horizontal="center" vertical="center" shrinkToFit="1"/>
    </xf>
    <xf numFmtId="218" fontId="7" fillId="33" borderId="18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Alignment="1">
      <alignment horizontal="center" vertical="center"/>
    </xf>
    <xf numFmtId="218" fontId="3" fillId="33" borderId="0" xfId="0" applyNumberFormat="1" applyFont="1" applyFill="1" applyAlignment="1">
      <alignment horizontal="center" vertical="center" shrinkToFit="1"/>
    </xf>
    <xf numFmtId="218" fontId="3" fillId="33" borderId="0" xfId="0" applyNumberFormat="1" applyFont="1" applyFill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33" borderId="0" xfId="0" applyFont="1" applyFill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224"/>
  <sheetViews>
    <sheetView tabSelected="1" view="pageBreakPreview" zoomScaleSheetLayoutView="100" workbookViewId="0" topLeftCell="A7">
      <selection activeCell="Q2" sqref="Q2:W2"/>
    </sheetView>
  </sheetViews>
  <sheetFormatPr defaultColWidth="9.140625" defaultRowHeight="12.75"/>
  <cols>
    <col min="1" max="1" width="3.7109375" style="84" bestFit="1" customWidth="1"/>
    <col min="2" max="2" width="4.57421875" style="42" customWidth="1"/>
    <col min="3" max="3" width="12.57421875" style="42" customWidth="1"/>
    <col min="4" max="4" width="12.7109375" style="42" customWidth="1"/>
    <col min="5" max="5" width="5.00390625" style="47" bestFit="1" customWidth="1"/>
    <col min="6" max="6" width="4.57421875" style="48" bestFit="1" customWidth="1"/>
    <col min="7" max="7" width="21.8515625" style="49" customWidth="1"/>
    <col min="8" max="8" width="10.8515625" style="50" bestFit="1" customWidth="1"/>
    <col min="9" max="9" width="3.7109375" style="51" bestFit="1" customWidth="1"/>
    <col min="10" max="10" width="6.421875" style="94" bestFit="1" customWidth="1"/>
    <col min="11" max="11" width="4.7109375" style="94" bestFit="1" customWidth="1"/>
    <col min="12" max="12" width="17.00390625" style="94" bestFit="1" customWidth="1"/>
    <col min="13" max="13" width="12.8515625" style="52" customWidth="1"/>
    <col min="14" max="14" width="7.421875" style="85" hidden="1" customWidth="1"/>
    <col min="15" max="15" width="21.421875" style="262" bestFit="1" customWidth="1"/>
    <col min="16" max="16" width="2.7109375" style="42" customWidth="1"/>
    <col min="17" max="17" width="10.7109375" style="97" bestFit="1" customWidth="1"/>
    <col min="18" max="22" width="10.57421875" style="97" customWidth="1"/>
    <col min="23" max="23" width="13.140625" style="97" bestFit="1" customWidth="1"/>
    <col min="24" max="24" width="10.140625" style="42" customWidth="1"/>
    <col min="25" max="25" width="12.57421875" style="42" customWidth="1"/>
    <col min="26" max="16384" width="9.140625" style="42" customWidth="1"/>
  </cols>
  <sheetData>
    <row r="1" spans="1:23" s="1" customFormat="1" ht="23.25">
      <c r="A1" s="385" t="s">
        <v>358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Q1" s="386" t="s">
        <v>433</v>
      </c>
      <c r="R1" s="386"/>
      <c r="S1" s="386"/>
      <c r="T1" s="386"/>
      <c r="U1" s="386"/>
      <c r="V1" s="386"/>
      <c r="W1" s="386"/>
    </row>
    <row r="2" spans="1:23" s="1" customFormat="1" ht="23.25">
      <c r="A2" s="385" t="s">
        <v>186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Q2" s="386" t="s">
        <v>186</v>
      </c>
      <c r="R2" s="386"/>
      <c r="S2" s="386"/>
      <c r="T2" s="386"/>
      <c r="U2" s="386"/>
      <c r="V2" s="386"/>
      <c r="W2" s="386"/>
    </row>
    <row r="3" spans="1:23" s="1" customFormat="1" ht="23.25">
      <c r="A3" s="387">
        <v>241122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Q3" s="386">
        <f>A3</f>
        <v>241122</v>
      </c>
      <c r="R3" s="386"/>
      <c r="S3" s="386"/>
      <c r="T3" s="386"/>
      <c r="U3" s="386"/>
      <c r="V3" s="386"/>
      <c r="W3" s="386"/>
    </row>
    <row r="4" spans="1:23" s="4" customFormat="1" ht="11.25" customHeight="1">
      <c r="A4" s="2"/>
      <c r="B4" s="3"/>
      <c r="F4" s="5"/>
      <c r="J4" s="87"/>
      <c r="K4" s="87"/>
      <c r="L4" s="87"/>
      <c r="M4" s="6"/>
      <c r="N4" s="6"/>
      <c r="O4" s="249"/>
      <c r="Q4" s="383" t="s">
        <v>17</v>
      </c>
      <c r="R4" s="384"/>
      <c r="S4" s="384"/>
      <c r="T4" s="384"/>
      <c r="U4" s="384"/>
      <c r="V4" s="384"/>
      <c r="W4" s="384"/>
    </row>
    <row r="5" spans="1:30" s="1" customFormat="1" ht="49.5">
      <c r="A5" s="7" t="s">
        <v>10</v>
      </c>
      <c r="B5" s="388" t="s">
        <v>11</v>
      </c>
      <c r="C5" s="389"/>
      <c r="D5" s="390"/>
      <c r="E5" s="388" t="s">
        <v>12</v>
      </c>
      <c r="F5" s="390"/>
      <c r="G5" s="8" t="s">
        <v>19</v>
      </c>
      <c r="H5" s="9" t="s">
        <v>24</v>
      </c>
      <c r="I5" s="8" t="s">
        <v>14</v>
      </c>
      <c r="J5" s="88" t="s">
        <v>13</v>
      </c>
      <c r="K5" s="88" t="s">
        <v>26</v>
      </c>
      <c r="L5" s="88" t="s">
        <v>27</v>
      </c>
      <c r="M5" s="10" t="s">
        <v>18</v>
      </c>
      <c r="N5" s="11"/>
      <c r="O5" s="250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19"/>
      <c r="Z5" s="92"/>
      <c r="AA5" s="92"/>
      <c r="AB5" s="375"/>
      <c r="AC5" s="374"/>
      <c r="AD5" s="374"/>
    </row>
    <row r="6" spans="1:30" s="1" customFormat="1" ht="23.25">
      <c r="A6" s="182">
        <v>1</v>
      </c>
      <c r="B6" s="21" t="s">
        <v>29</v>
      </c>
      <c r="C6" s="113" t="s">
        <v>205</v>
      </c>
      <c r="D6" s="114" t="s">
        <v>86</v>
      </c>
      <c r="E6" s="24" t="s">
        <v>144</v>
      </c>
      <c r="F6" s="25">
        <v>1</v>
      </c>
      <c r="G6" s="26" t="s">
        <v>206</v>
      </c>
      <c r="H6" s="27">
        <v>226210</v>
      </c>
      <c r="I6" s="28">
        <f aca="true" t="shared" si="0" ref="I6:I82">DATEDIF(H6,$S$16,"Y")</f>
        <v>40</v>
      </c>
      <c r="J6" s="89">
        <f aca="true" t="shared" si="1" ref="J6:J76">DATEDIF(H6,$S$16,"YM")</f>
        <v>4</v>
      </c>
      <c r="K6" s="89">
        <f aca="true" t="shared" si="2" ref="K6:K76">DATEDIF(H6,$S$16,"MD")</f>
        <v>26</v>
      </c>
      <c r="L6" s="89" t="str">
        <f aca="true" t="shared" si="3" ref="L6:L76">I6&amp;" ปี  "&amp;J6&amp;" เดือน  "&amp;K6&amp;" วัน"</f>
        <v>40 ปี  4 เดือน  26 วัน</v>
      </c>
      <c r="M6" s="29">
        <f>IF(I6&lt;=69,800,IF(I6&lt;=79,800,IF(I6&lt;=89,800,IF(I6&gt;=90,800))))</f>
        <v>800</v>
      </c>
      <c r="N6" s="181"/>
      <c r="O6" s="251"/>
      <c r="P6" s="31"/>
      <c r="Q6" s="32">
        <v>1</v>
      </c>
      <c r="R6" s="33">
        <f>Y19</f>
        <v>0</v>
      </c>
      <c r="S6" s="34">
        <f>Y20</f>
        <v>0</v>
      </c>
      <c r="T6" s="33">
        <f>Y21</f>
        <v>0</v>
      </c>
      <c r="U6" s="33">
        <f>AD10</f>
        <v>0</v>
      </c>
      <c r="V6" s="33">
        <f>AD10</f>
        <v>0</v>
      </c>
      <c r="W6" s="35">
        <f aca="true" t="shared" si="4" ref="W6:W11">(R6*600)+(S6*700)+(T6*800)+(U6*1000)</f>
        <v>0</v>
      </c>
      <c r="Z6" s="154"/>
      <c r="AA6" s="92"/>
      <c r="AB6" s="375"/>
      <c r="AC6" s="157"/>
      <c r="AD6" s="92"/>
    </row>
    <row r="7" spans="1:30" s="1" customFormat="1" ht="23.25">
      <c r="A7" s="20">
        <f aca="true" t="shared" si="5" ref="A7:A70">A6+1</f>
        <v>2</v>
      </c>
      <c r="B7" s="21" t="s">
        <v>31</v>
      </c>
      <c r="C7" s="115" t="s">
        <v>132</v>
      </c>
      <c r="D7" s="116" t="s">
        <v>85</v>
      </c>
      <c r="E7" s="24" t="s">
        <v>80</v>
      </c>
      <c r="F7" s="25">
        <v>1</v>
      </c>
      <c r="G7" s="26" t="s">
        <v>207</v>
      </c>
      <c r="H7" s="27">
        <v>224485</v>
      </c>
      <c r="I7" s="28">
        <f t="shared" si="0"/>
        <v>45</v>
      </c>
      <c r="J7" s="89">
        <f t="shared" si="1"/>
        <v>1</v>
      </c>
      <c r="K7" s="89">
        <f t="shared" si="2"/>
        <v>17</v>
      </c>
      <c r="L7" s="89" t="str">
        <f t="shared" si="3"/>
        <v>45 ปี  1 เดือน  17 วัน</v>
      </c>
      <c r="M7" s="29">
        <f>IF(I7&lt;=69,800,IF(I7&lt;=79,800,IF(I7&lt;=89,800,IF(I7&gt;=90,800))))</f>
        <v>800</v>
      </c>
      <c r="N7" s="181"/>
      <c r="O7" s="251" t="s">
        <v>187</v>
      </c>
      <c r="P7" s="31"/>
      <c r="Q7" s="36">
        <v>2</v>
      </c>
      <c r="R7" s="33">
        <v>0</v>
      </c>
      <c r="S7" s="34">
        <v>0</v>
      </c>
      <c r="T7" s="33">
        <v>0</v>
      </c>
      <c r="U7" s="34">
        <f>Y23</f>
        <v>8</v>
      </c>
      <c r="V7" s="33">
        <f>Y23</f>
        <v>8</v>
      </c>
      <c r="W7" s="37">
        <f t="shared" si="4"/>
        <v>8000</v>
      </c>
      <c r="Z7" s="154"/>
      <c r="AA7" s="92"/>
      <c r="AB7" s="375"/>
      <c r="AC7" s="157"/>
      <c r="AD7" s="92"/>
    </row>
    <row r="8" spans="1:30" s="1" customFormat="1" ht="26.25">
      <c r="A8" s="20">
        <f t="shared" si="5"/>
        <v>3</v>
      </c>
      <c r="B8" s="21" t="s">
        <v>29</v>
      </c>
      <c r="C8" s="113" t="s">
        <v>208</v>
      </c>
      <c r="D8" s="114" t="s">
        <v>209</v>
      </c>
      <c r="E8" s="24" t="s">
        <v>157</v>
      </c>
      <c r="F8" s="25">
        <v>1</v>
      </c>
      <c r="G8" s="26" t="s">
        <v>210</v>
      </c>
      <c r="H8" s="27">
        <v>228348</v>
      </c>
      <c r="I8" s="28">
        <f t="shared" si="0"/>
        <v>34</v>
      </c>
      <c r="J8" s="89">
        <f t="shared" si="1"/>
        <v>6</v>
      </c>
      <c r="K8" s="89">
        <f t="shared" si="2"/>
        <v>19</v>
      </c>
      <c r="L8" s="89" t="str">
        <f t="shared" si="3"/>
        <v>34 ปี  6 เดือน  19 วัน</v>
      </c>
      <c r="M8" s="29">
        <f aca="true" t="shared" si="6" ref="M8:M82">IF(I8&lt;=69,800,IF(I8&lt;=79,800,IF(I8&lt;=89,800,IF(I8&gt;=90,800))))</f>
        <v>800</v>
      </c>
      <c r="N8" s="30"/>
      <c r="O8" s="252"/>
      <c r="P8" s="31"/>
      <c r="Q8" s="36">
        <v>3</v>
      </c>
      <c r="R8" s="33">
        <f>V163</f>
        <v>0</v>
      </c>
      <c r="S8" s="33">
        <f>V164</f>
        <v>0</v>
      </c>
      <c r="T8" s="33">
        <f>V165</f>
        <v>0</v>
      </c>
      <c r="U8" s="33">
        <f>Y36</f>
        <v>0</v>
      </c>
      <c r="V8" s="33">
        <f>Y36</f>
        <v>0</v>
      </c>
      <c r="W8" s="37">
        <f t="shared" si="4"/>
        <v>0</v>
      </c>
      <c r="Z8" s="154"/>
      <c r="AA8" s="92"/>
      <c r="AB8" s="104"/>
      <c r="AC8" s="157"/>
      <c r="AD8" s="92"/>
    </row>
    <row r="9" spans="1:30" s="1" customFormat="1" ht="26.25">
      <c r="A9" s="20">
        <f t="shared" si="5"/>
        <v>4</v>
      </c>
      <c r="B9" s="21" t="s">
        <v>30</v>
      </c>
      <c r="C9" s="115" t="s">
        <v>160</v>
      </c>
      <c r="D9" s="116" t="s">
        <v>94</v>
      </c>
      <c r="E9" s="24" t="s">
        <v>81</v>
      </c>
      <c r="F9" s="25">
        <v>1</v>
      </c>
      <c r="G9" s="26" t="s">
        <v>211</v>
      </c>
      <c r="H9" s="27">
        <v>209018</v>
      </c>
      <c r="I9" s="28">
        <f t="shared" si="0"/>
        <v>87</v>
      </c>
      <c r="J9" s="89">
        <f t="shared" si="1"/>
        <v>5</v>
      </c>
      <c r="K9" s="89">
        <f t="shared" si="2"/>
        <v>23</v>
      </c>
      <c r="L9" s="89" t="str">
        <f t="shared" si="3"/>
        <v>87 ปี  5 เดือน  23 วัน</v>
      </c>
      <c r="M9" s="29">
        <f t="shared" si="6"/>
        <v>800</v>
      </c>
      <c r="N9" s="30"/>
      <c r="O9" s="253"/>
      <c r="P9" s="31"/>
      <c r="Q9" s="36">
        <v>4</v>
      </c>
      <c r="R9" s="33">
        <f>$V207</f>
        <v>0</v>
      </c>
      <c r="S9" s="33">
        <f>$V208</f>
        <v>0</v>
      </c>
      <c r="T9" s="33">
        <f>$V209</f>
        <v>0</v>
      </c>
      <c r="U9" s="33">
        <f>Y36</f>
        <v>0</v>
      </c>
      <c r="V9" s="33">
        <f>Y36</f>
        <v>0</v>
      </c>
      <c r="W9" s="37">
        <f t="shared" si="4"/>
        <v>0</v>
      </c>
      <c r="Z9" s="154"/>
      <c r="AA9" s="92"/>
      <c r="AB9" s="104"/>
      <c r="AC9" s="157"/>
      <c r="AD9" s="92"/>
    </row>
    <row r="10" spans="1:30" s="1" customFormat="1" ht="26.25">
      <c r="A10" s="20">
        <f t="shared" si="5"/>
        <v>5</v>
      </c>
      <c r="B10" s="21" t="s">
        <v>30</v>
      </c>
      <c r="C10" s="115" t="s">
        <v>60</v>
      </c>
      <c r="D10" s="116" t="s">
        <v>147</v>
      </c>
      <c r="E10" s="24" t="s">
        <v>414</v>
      </c>
      <c r="F10" s="25" t="s">
        <v>120</v>
      </c>
      <c r="G10" s="26" t="s">
        <v>212</v>
      </c>
      <c r="H10" s="27">
        <v>213670</v>
      </c>
      <c r="I10" s="28">
        <f t="shared" si="0"/>
        <v>74</v>
      </c>
      <c r="J10" s="89">
        <f t="shared" si="1"/>
        <v>8</v>
      </c>
      <c r="K10" s="89">
        <f t="shared" si="2"/>
        <v>29</v>
      </c>
      <c r="L10" s="89" t="str">
        <f t="shared" si="3"/>
        <v>74 ปี  8 เดือน  29 วัน</v>
      </c>
      <c r="M10" s="29">
        <f t="shared" si="6"/>
        <v>800</v>
      </c>
      <c r="N10" s="39"/>
      <c r="O10" s="135" t="s">
        <v>187</v>
      </c>
      <c r="P10" s="31"/>
      <c r="Q10" s="36">
        <v>5</v>
      </c>
      <c r="R10" s="33">
        <v>0</v>
      </c>
      <c r="S10" s="33">
        <v>0</v>
      </c>
      <c r="T10" s="33">
        <v>0</v>
      </c>
      <c r="U10" s="33">
        <f>V71</f>
        <v>0</v>
      </c>
      <c r="V10" s="33">
        <f>V71</f>
        <v>0</v>
      </c>
      <c r="W10" s="37">
        <f t="shared" si="4"/>
        <v>0</v>
      </c>
      <c r="Z10" s="154"/>
      <c r="AA10" s="92"/>
      <c r="AB10" s="104"/>
      <c r="AC10" s="374"/>
      <c r="AD10" s="374"/>
    </row>
    <row r="11" spans="1:30" s="1" customFormat="1" ht="26.25">
      <c r="A11" s="20">
        <f t="shared" si="5"/>
        <v>6</v>
      </c>
      <c r="B11" s="21" t="s">
        <v>30</v>
      </c>
      <c r="C11" s="113" t="s">
        <v>412</v>
      </c>
      <c r="D11" s="357" t="s">
        <v>413</v>
      </c>
      <c r="E11" s="24" t="s">
        <v>170</v>
      </c>
      <c r="F11" s="25">
        <v>1</v>
      </c>
      <c r="G11" s="26" t="s">
        <v>213</v>
      </c>
      <c r="H11" s="27">
        <v>220408</v>
      </c>
      <c r="I11" s="28">
        <f>DATEDIF(H11,$S$16,"Y")</f>
        <v>56</v>
      </c>
      <c r="J11" s="89">
        <f t="shared" si="1"/>
        <v>3</v>
      </c>
      <c r="K11" s="89">
        <f t="shared" si="2"/>
        <v>15</v>
      </c>
      <c r="L11" s="89" t="str">
        <f t="shared" si="3"/>
        <v>56 ปี  3 เดือน  15 วัน</v>
      </c>
      <c r="M11" s="29">
        <f t="shared" si="6"/>
        <v>800</v>
      </c>
      <c r="N11" s="39"/>
      <c r="O11" s="135"/>
      <c r="P11" s="31"/>
      <c r="Q11" s="36">
        <v>6</v>
      </c>
      <c r="R11" s="33">
        <v>0</v>
      </c>
      <c r="S11" s="34">
        <v>0</v>
      </c>
      <c r="T11" s="33">
        <v>0</v>
      </c>
      <c r="U11" s="33">
        <f>V97</f>
        <v>0</v>
      </c>
      <c r="V11" s="33">
        <f>V97</f>
        <v>0</v>
      </c>
      <c r="W11" s="37">
        <f t="shared" si="4"/>
        <v>0</v>
      </c>
      <c r="Z11" s="154"/>
      <c r="AA11" s="92"/>
      <c r="AB11" s="112"/>
      <c r="AC11" s="112"/>
      <c r="AD11" s="112"/>
    </row>
    <row r="12" spans="1:30" s="1" customFormat="1" ht="26.25">
      <c r="A12" s="20">
        <f t="shared" si="5"/>
        <v>7</v>
      </c>
      <c r="B12" s="21" t="s">
        <v>214</v>
      </c>
      <c r="C12" s="115" t="s">
        <v>215</v>
      </c>
      <c r="D12" s="116" t="s">
        <v>85</v>
      </c>
      <c r="E12" s="24" t="s">
        <v>59</v>
      </c>
      <c r="F12" s="25">
        <v>1</v>
      </c>
      <c r="G12" s="26" t="s">
        <v>216</v>
      </c>
      <c r="H12" s="27">
        <v>234655</v>
      </c>
      <c r="I12" s="28">
        <f>DATEDIF(H12,$S$16,"Y")</f>
        <v>17</v>
      </c>
      <c r="J12" s="89">
        <f t="shared" si="1"/>
        <v>3</v>
      </c>
      <c r="K12" s="89">
        <f t="shared" si="2"/>
        <v>13</v>
      </c>
      <c r="L12" s="89" t="str">
        <f t="shared" si="3"/>
        <v>17 ปี  3 เดือน  13 วัน</v>
      </c>
      <c r="M12" s="29">
        <f t="shared" si="6"/>
        <v>800</v>
      </c>
      <c r="N12" s="39"/>
      <c r="O12" s="135"/>
      <c r="P12" s="31"/>
      <c r="Q12" s="36"/>
      <c r="R12" s="33"/>
      <c r="S12" s="34"/>
      <c r="T12" s="33"/>
      <c r="U12" s="33"/>
      <c r="V12" s="33"/>
      <c r="W12" s="37"/>
      <c r="Z12" s="154"/>
      <c r="AA12" s="92"/>
      <c r="AB12" s="112"/>
      <c r="AC12" s="112"/>
      <c r="AD12" s="112"/>
    </row>
    <row r="13" spans="1:30" s="1" customFormat="1" ht="26.25">
      <c r="A13" s="20">
        <f t="shared" si="5"/>
        <v>8</v>
      </c>
      <c r="B13" s="21" t="s">
        <v>30</v>
      </c>
      <c r="C13" s="115" t="s">
        <v>91</v>
      </c>
      <c r="D13" s="116" t="s">
        <v>209</v>
      </c>
      <c r="E13" s="24" t="s">
        <v>157</v>
      </c>
      <c r="F13" s="25">
        <v>1</v>
      </c>
      <c r="G13" s="26" t="s">
        <v>217</v>
      </c>
      <c r="H13" s="27">
        <v>212574</v>
      </c>
      <c r="I13" s="28">
        <f t="shared" si="0"/>
        <v>77</v>
      </c>
      <c r="J13" s="89">
        <f t="shared" si="1"/>
        <v>8</v>
      </c>
      <c r="K13" s="89">
        <f t="shared" si="2"/>
        <v>29</v>
      </c>
      <c r="L13" s="89" t="str">
        <f t="shared" si="3"/>
        <v>77 ปี  8 เดือน  29 วัน</v>
      </c>
      <c r="M13" s="29">
        <f t="shared" si="6"/>
        <v>800</v>
      </c>
      <c r="N13" s="39"/>
      <c r="O13" s="135"/>
      <c r="P13" s="31"/>
      <c r="Q13" s="36"/>
      <c r="R13" s="33"/>
      <c r="S13" s="34"/>
      <c r="T13" s="33"/>
      <c r="U13" s="33"/>
      <c r="V13" s="33"/>
      <c r="W13" s="37" t="s">
        <v>187</v>
      </c>
      <c r="Z13" s="154"/>
      <c r="AA13" s="92"/>
      <c r="AB13" s="112"/>
      <c r="AC13" s="204"/>
      <c r="AD13" s="204"/>
    </row>
    <row r="14" spans="1:24" ht="26.25">
      <c r="A14" s="20">
        <f t="shared" si="5"/>
        <v>9</v>
      </c>
      <c r="B14" s="21" t="s">
        <v>29</v>
      </c>
      <c r="C14" s="113" t="s">
        <v>32</v>
      </c>
      <c r="D14" s="114" t="s">
        <v>103</v>
      </c>
      <c r="E14" s="24" t="s">
        <v>104</v>
      </c>
      <c r="F14" s="25" t="s">
        <v>188</v>
      </c>
      <c r="G14" s="26" t="s">
        <v>218</v>
      </c>
      <c r="H14" s="27">
        <v>228463</v>
      </c>
      <c r="I14" s="28">
        <f t="shared" si="0"/>
        <v>34</v>
      </c>
      <c r="J14" s="89">
        <f t="shared" si="1"/>
        <v>2</v>
      </c>
      <c r="K14" s="89">
        <f t="shared" si="2"/>
        <v>26</v>
      </c>
      <c r="L14" s="89" t="str">
        <f t="shared" si="3"/>
        <v>34 ปี  2 เดือน  26 วัน</v>
      </c>
      <c r="M14" s="29">
        <f t="shared" si="6"/>
        <v>800</v>
      </c>
      <c r="N14" s="30"/>
      <c r="O14" s="252"/>
      <c r="P14" s="31"/>
      <c r="Q14" s="40"/>
      <c r="R14" s="33"/>
      <c r="S14" s="33"/>
      <c r="T14" s="33"/>
      <c r="U14" s="33"/>
      <c r="V14" s="33"/>
      <c r="W14" s="41"/>
      <c r="X14" s="1"/>
    </row>
    <row r="15" spans="1:24" ht="27" thickBot="1">
      <c r="A15" s="20">
        <f t="shared" si="5"/>
        <v>10</v>
      </c>
      <c r="B15" s="21" t="s">
        <v>31</v>
      </c>
      <c r="C15" s="22" t="s">
        <v>219</v>
      </c>
      <c r="D15" s="23" t="s">
        <v>220</v>
      </c>
      <c r="E15" s="24" t="s">
        <v>65</v>
      </c>
      <c r="F15" s="25" t="s">
        <v>188</v>
      </c>
      <c r="G15" s="26" t="s">
        <v>221</v>
      </c>
      <c r="H15" s="27">
        <v>221774</v>
      </c>
      <c r="I15" s="28">
        <f t="shared" si="0"/>
        <v>52</v>
      </c>
      <c r="J15" s="89">
        <f t="shared" si="1"/>
        <v>6</v>
      </c>
      <c r="K15" s="89">
        <f t="shared" si="2"/>
        <v>18</v>
      </c>
      <c r="L15" s="89" t="str">
        <f t="shared" si="3"/>
        <v>52 ปี  6 เดือน  18 วัน</v>
      </c>
      <c r="M15" s="29">
        <f t="shared" si="6"/>
        <v>800</v>
      </c>
      <c r="N15" s="39"/>
      <c r="O15" s="135"/>
      <c r="P15" s="13"/>
      <c r="Q15" s="43" t="s">
        <v>23</v>
      </c>
      <c r="R15" s="44">
        <f aca="true" t="shared" si="7" ref="R15:W15">SUM(R6:R14)</f>
        <v>0</v>
      </c>
      <c r="S15" s="44">
        <f t="shared" si="7"/>
        <v>0</v>
      </c>
      <c r="T15" s="44">
        <f t="shared" si="7"/>
        <v>0</v>
      </c>
      <c r="U15" s="44">
        <f t="shared" si="7"/>
        <v>8</v>
      </c>
      <c r="V15" s="44">
        <f t="shared" si="7"/>
        <v>8</v>
      </c>
      <c r="W15" s="45">
        <f t="shared" si="7"/>
        <v>8000</v>
      </c>
      <c r="X15" s="19"/>
    </row>
    <row r="16" spans="1:24" ht="27" thickTop="1">
      <c r="A16" s="20">
        <f t="shared" si="5"/>
        <v>11</v>
      </c>
      <c r="B16" s="21" t="s">
        <v>30</v>
      </c>
      <c r="C16" s="22" t="s">
        <v>148</v>
      </c>
      <c r="D16" s="23" t="s">
        <v>149</v>
      </c>
      <c r="E16" s="24" t="s">
        <v>150</v>
      </c>
      <c r="F16" s="25" t="s">
        <v>188</v>
      </c>
      <c r="G16" s="26" t="s">
        <v>222</v>
      </c>
      <c r="H16" s="27">
        <v>212209</v>
      </c>
      <c r="I16" s="28">
        <f t="shared" si="0"/>
        <v>78</v>
      </c>
      <c r="J16" s="89">
        <f t="shared" si="1"/>
        <v>8</v>
      </c>
      <c r="K16" s="89">
        <f t="shared" si="2"/>
        <v>29</v>
      </c>
      <c r="L16" s="89" t="str">
        <f t="shared" si="3"/>
        <v>78 ปี  8 เดือน  29 วัน</v>
      </c>
      <c r="M16" s="29">
        <f t="shared" si="6"/>
        <v>800</v>
      </c>
      <c r="N16" s="39"/>
      <c r="O16" s="135"/>
      <c r="Q16" s="96" t="s">
        <v>28</v>
      </c>
      <c r="S16" s="95">
        <v>240969</v>
      </c>
      <c r="T16" s="98"/>
      <c r="U16" s="98"/>
      <c r="V16" s="98"/>
      <c r="W16" s="99"/>
      <c r="X16" s="46"/>
    </row>
    <row r="17" spans="1:24" ht="26.25">
      <c r="A17" s="20">
        <f t="shared" si="5"/>
        <v>12</v>
      </c>
      <c r="B17" s="21" t="s">
        <v>30</v>
      </c>
      <c r="C17" s="22" t="s">
        <v>114</v>
      </c>
      <c r="D17" s="23" t="s">
        <v>146</v>
      </c>
      <c r="E17" s="24" t="s">
        <v>46</v>
      </c>
      <c r="F17" s="25" t="s">
        <v>188</v>
      </c>
      <c r="G17" s="26" t="s">
        <v>223</v>
      </c>
      <c r="H17" s="27">
        <v>213670</v>
      </c>
      <c r="I17" s="90">
        <f t="shared" si="0"/>
        <v>74</v>
      </c>
      <c r="J17" s="89">
        <f t="shared" si="1"/>
        <v>8</v>
      </c>
      <c r="K17" s="89">
        <f t="shared" si="2"/>
        <v>29</v>
      </c>
      <c r="L17" s="89" t="str">
        <f t="shared" si="3"/>
        <v>74 ปี  8 เดือน  29 วัน</v>
      </c>
      <c r="M17" s="29">
        <f t="shared" si="6"/>
        <v>800</v>
      </c>
      <c r="N17" s="159"/>
      <c r="O17" s="89"/>
      <c r="Q17" s="96"/>
      <c r="S17" s="95"/>
      <c r="T17" s="98"/>
      <c r="U17" s="98"/>
      <c r="V17" s="98"/>
      <c r="W17" s="99"/>
      <c r="X17" s="46"/>
    </row>
    <row r="18" spans="1:31" ht="26.25">
      <c r="A18" s="20">
        <f t="shared" si="5"/>
        <v>13</v>
      </c>
      <c r="B18" s="21" t="s">
        <v>30</v>
      </c>
      <c r="C18" s="22" t="s">
        <v>224</v>
      </c>
      <c r="D18" s="23" t="s">
        <v>85</v>
      </c>
      <c r="E18" s="24" t="s">
        <v>59</v>
      </c>
      <c r="F18" s="25" t="s">
        <v>188</v>
      </c>
      <c r="G18" s="26" t="s">
        <v>225</v>
      </c>
      <c r="H18" s="27">
        <v>223030</v>
      </c>
      <c r="I18" s="28">
        <f t="shared" si="0"/>
        <v>49</v>
      </c>
      <c r="J18" s="89">
        <f t="shared" si="1"/>
        <v>1</v>
      </c>
      <c r="K18" s="89">
        <f t="shared" si="2"/>
        <v>11</v>
      </c>
      <c r="L18" s="89" t="str">
        <f t="shared" si="3"/>
        <v>49 ปี  1 เดือน  11 วัน</v>
      </c>
      <c r="M18" s="29">
        <f t="shared" si="6"/>
        <v>800</v>
      </c>
      <c r="N18" s="39"/>
      <c r="O18" s="135"/>
      <c r="Q18" s="100" t="s">
        <v>187</v>
      </c>
      <c r="U18" s="107" t="s">
        <v>0</v>
      </c>
      <c r="V18" s="108" t="s">
        <v>22</v>
      </c>
      <c r="W18" s="101"/>
      <c r="X18" s="109" t="s">
        <v>1</v>
      </c>
      <c r="Y18" s="109" t="s">
        <v>22</v>
      </c>
      <c r="Z18" s="51"/>
      <c r="AA18" s="51"/>
      <c r="AB18" s="52"/>
      <c r="AC18" s="52"/>
      <c r="AD18" s="52"/>
      <c r="AE18" s="51"/>
    </row>
    <row r="19" spans="1:31" ht="26.25">
      <c r="A19" s="20">
        <f t="shared" si="5"/>
        <v>14</v>
      </c>
      <c r="B19" s="21" t="s">
        <v>29</v>
      </c>
      <c r="C19" s="22" t="s">
        <v>154</v>
      </c>
      <c r="D19" s="23" t="s">
        <v>155</v>
      </c>
      <c r="E19" s="24" t="s">
        <v>156</v>
      </c>
      <c r="F19" s="25" t="s">
        <v>188</v>
      </c>
      <c r="G19" s="26" t="s">
        <v>226</v>
      </c>
      <c r="H19" s="27">
        <v>211417</v>
      </c>
      <c r="I19" s="28">
        <f t="shared" si="0"/>
        <v>80</v>
      </c>
      <c r="J19" s="89">
        <f t="shared" si="1"/>
        <v>10</v>
      </c>
      <c r="K19" s="89">
        <f t="shared" si="2"/>
        <v>29</v>
      </c>
      <c r="L19" s="89" t="str">
        <f t="shared" si="3"/>
        <v>80 ปี  10 เดือน  29 วัน</v>
      </c>
      <c r="M19" s="29">
        <f t="shared" si="6"/>
        <v>800</v>
      </c>
      <c r="N19" s="39"/>
      <c r="O19" s="135"/>
      <c r="U19" s="110">
        <v>1</v>
      </c>
      <c r="V19" s="94">
        <f>COUNTIF(I6:I112,"1")</f>
        <v>1</v>
      </c>
      <c r="W19" s="101"/>
      <c r="X19" s="111" t="s">
        <v>2</v>
      </c>
      <c r="Y19" s="89">
        <v>0</v>
      </c>
      <c r="Z19" s="51"/>
      <c r="AA19" s="51"/>
      <c r="AB19" s="52"/>
      <c r="AC19" s="52"/>
      <c r="AD19" s="52"/>
      <c r="AE19" s="51"/>
    </row>
    <row r="20" spans="1:31" ht="26.25">
      <c r="A20" s="20">
        <f t="shared" si="5"/>
        <v>15</v>
      </c>
      <c r="B20" s="21" t="s">
        <v>30</v>
      </c>
      <c r="C20" s="22" t="s">
        <v>227</v>
      </c>
      <c r="D20" s="23" t="s">
        <v>198</v>
      </c>
      <c r="E20" s="24" t="s">
        <v>199</v>
      </c>
      <c r="F20" s="25" t="s">
        <v>188</v>
      </c>
      <c r="G20" s="26" t="s">
        <v>228</v>
      </c>
      <c r="H20" s="27">
        <v>218904</v>
      </c>
      <c r="I20" s="28">
        <f t="shared" si="0"/>
        <v>60</v>
      </c>
      <c r="J20" s="89">
        <f t="shared" si="1"/>
        <v>4</v>
      </c>
      <c r="K20" s="89">
        <f t="shared" si="2"/>
        <v>28</v>
      </c>
      <c r="L20" s="89" t="str">
        <f t="shared" si="3"/>
        <v>60 ปี  4 เดือน  28 วัน</v>
      </c>
      <c r="M20" s="38">
        <f t="shared" si="6"/>
        <v>800</v>
      </c>
      <c r="N20" s="39"/>
      <c r="O20" s="135"/>
      <c r="U20" s="110">
        <v>2</v>
      </c>
      <c r="V20" s="94">
        <f>COUNTIF(I6:I112,"2")</f>
        <v>0</v>
      </c>
      <c r="W20" s="101"/>
      <c r="X20" s="111" t="s">
        <v>7</v>
      </c>
      <c r="Y20" s="89">
        <v>0</v>
      </c>
      <c r="Z20" s="51"/>
      <c r="AA20" s="51"/>
      <c r="AB20" s="52"/>
      <c r="AC20" s="52"/>
      <c r="AD20" s="52"/>
      <c r="AE20" s="51"/>
    </row>
    <row r="21" spans="1:25" ht="26.25">
      <c r="A21" s="20">
        <f t="shared" si="5"/>
        <v>16</v>
      </c>
      <c r="B21" s="21" t="s">
        <v>31</v>
      </c>
      <c r="C21" s="22" t="s">
        <v>229</v>
      </c>
      <c r="D21" s="23" t="s">
        <v>230</v>
      </c>
      <c r="E21" s="24" t="s">
        <v>231</v>
      </c>
      <c r="F21" s="216" t="s">
        <v>188</v>
      </c>
      <c r="G21" s="26" t="s">
        <v>232</v>
      </c>
      <c r="H21" s="27">
        <v>224614</v>
      </c>
      <c r="I21" s="28">
        <f t="shared" si="0"/>
        <v>44</v>
      </c>
      <c r="J21" s="89">
        <f t="shared" si="1"/>
        <v>9</v>
      </c>
      <c r="K21" s="89">
        <f t="shared" si="2"/>
        <v>10</v>
      </c>
      <c r="L21" s="89" t="str">
        <f t="shared" si="3"/>
        <v>44 ปี  9 เดือน  10 วัน</v>
      </c>
      <c r="M21" s="38">
        <f t="shared" si="6"/>
        <v>800</v>
      </c>
      <c r="N21" s="183"/>
      <c r="O21" s="254"/>
      <c r="Q21" s="103"/>
      <c r="U21" s="110">
        <v>3</v>
      </c>
      <c r="V21" s="94">
        <f>COUNTIF(I6:I112,"3")</f>
        <v>1</v>
      </c>
      <c r="W21" s="104"/>
      <c r="X21" s="111" t="s">
        <v>8</v>
      </c>
      <c r="Y21" s="89">
        <v>0</v>
      </c>
    </row>
    <row r="22" spans="1:25" ht="26.25">
      <c r="A22" s="20">
        <f t="shared" si="5"/>
        <v>17</v>
      </c>
      <c r="B22" s="21" t="s">
        <v>29</v>
      </c>
      <c r="C22" s="22" t="s">
        <v>233</v>
      </c>
      <c r="D22" s="23" t="s">
        <v>234</v>
      </c>
      <c r="E22" s="24" t="s">
        <v>235</v>
      </c>
      <c r="F22" s="216" t="s">
        <v>188</v>
      </c>
      <c r="G22" s="26" t="s">
        <v>236</v>
      </c>
      <c r="H22" s="27">
        <v>226734</v>
      </c>
      <c r="I22" s="28">
        <f t="shared" si="0"/>
        <v>38</v>
      </c>
      <c r="J22" s="89">
        <f t="shared" si="1"/>
        <v>11</v>
      </c>
      <c r="K22" s="89">
        <f t="shared" si="2"/>
        <v>21</v>
      </c>
      <c r="L22" s="89" t="str">
        <f t="shared" si="3"/>
        <v>38 ปี  11 เดือน  21 วัน</v>
      </c>
      <c r="M22" s="218">
        <f t="shared" si="6"/>
        <v>800</v>
      </c>
      <c r="N22" s="183"/>
      <c r="O22" s="254"/>
      <c r="Q22" s="106"/>
      <c r="U22" s="110">
        <v>4</v>
      </c>
      <c r="V22" s="94">
        <f>COUNTIF(I6:I112,"4")</f>
        <v>1</v>
      </c>
      <c r="W22" s="104"/>
      <c r="X22" s="111" t="s">
        <v>9</v>
      </c>
      <c r="Y22" s="89">
        <f>SUM(V19:V29)</f>
        <v>8</v>
      </c>
    </row>
    <row r="23" spans="1:25" ht="26.25">
      <c r="A23" s="20">
        <f t="shared" si="5"/>
        <v>18</v>
      </c>
      <c r="B23" s="21" t="s">
        <v>29</v>
      </c>
      <c r="C23" s="22" t="s">
        <v>237</v>
      </c>
      <c r="D23" s="23" t="s">
        <v>238</v>
      </c>
      <c r="E23" s="24" t="s">
        <v>239</v>
      </c>
      <c r="F23" s="216" t="s">
        <v>188</v>
      </c>
      <c r="G23" s="26" t="s">
        <v>240</v>
      </c>
      <c r="H23" s="27">
        <v>226693</v>
      </c>
      <c r="I23" s="28">
        <f t="shared" si="0"/>
        <v>39</v>
      </c>
      <c r="J23" s="89">
        <f t="shared" si="1"/>
        <v>1</v>
      </c>
      <c r="K23" s="89">
        <f t="shared" si="2"/>
        <v>1</v>
      </c>
      <c r="L23" s="89" t="str">
        <f t="shared" si="3"/>
        <v>39 ปี  1 เดือน  1 วัน</v>
      </c>
      <c r="M23" s="218">
        <f t="shared" si="6"/>
        <v>800</v>
      </c>
      <c r="N23" s="183"/>
      <c r="O23" s="254"/>
      <c r="Q23" s="106"/>
      <c r="U23" s="110">
        <v>5</v>
      </c>
      <c r="V23" s="94">
        <f>COUNTIF(I6:I112,"5")</f>
        <v>0</v>
      </c>
      <c r="W23" s="104"/>
      <c r="X23" s="109" t="s">
        <v>25</v>
      </c>
      <c r="Y23" s="109">
        <f>SUM(Y19:Y22)</f>
        <v>8</v>
      </c>
    </row>
    <row r="24" spans="1:25" ht="26.25">
      <c r="A24" s="20"/>
      <c r="B24" s="346" t="s">
        <v>29</v>
      </c>
      <c r="C24" s="347" t="s">
        <v>241</v>
      </c>
      <c r="D24" s="348" t="s">
        <v>242</v>
      </c>
      <c r="E24" s="349" t="s">
        <v>243</v>
      </c>
      <c r="F24" s="350" t="s">
        <v>188</v>
      </c>
      <c r="G24" s="351" t="s">
        <v>244</v>
      </c>
      <c r="H24" s="336">
        <v>231627</v>
      </c>
      <c r="I24" s="89">
        <v>0</v>
      </c>
      <c r="J24" s="226">
        <f t="shared" si="1"/>
        <v>6</v>
      </c>
      <c r="K24" s="226">
        <f t="shared" si="2"/>
        <v>27</v>
      </c>
      <c r="L24" s="226" t="str">
        <f t="shared" si="3"/>
        <v>0 ปี  6 เดือน  27 วัน</v>
      </c>
      <c r="M24" s="337" t="s">
        <v>399</v>
      </c>
      <c r="N24" s="352"/>
      <c r="O24" s="255" t="s">
        <v>400</v>
      </c>
      <c r="U24" s="110">
        <v>6</v>
      </c>
      <c r="V24" s="94">
        <f>COUNTIF(I6:I112,"6")</f>
        <v>0</v>
      </c>
      <c r="X24" s="97"/>
      <c r="Y24" s="97"/>
    </row>
    <row r="25" spans="1:25" ht="26.25">
      <c r="A25" s="20">
        <v>19</v>
      </c>
      <c r="B25" s="219" t="s">
        <v>245</v>
      </c>
      <c r="C25" s="220" t="s">
        <v>246</v>
      </c>
      <c r="D25" s="221" t="s">
        <v>247</v>
      </c>
      <c r="E25" s="222" t="s">
        <v>248</v>
      </c>
      <c r="F25" s="223" t="s">
        <v>188</v>
      </c>
      <c r="G25" s="224" t="s">
        <v>249</v>
      </c>
      <c r="H25" s="225">
        <v>237179</v>
      </c>
      <c r="I25" s="28">
        <f t="shared" si="0"/>
        <v>10</v>
      </c>
      <c r="J25" s="226">
        <f t="shared" si="1"/>
        <v>4</v>
      </c>
      <c r="K25" s="226">
        <f t="shared" si="2"/>
        <v>15</v>
      </c>
      <c r="L25" s="226" t="str">
        <f t="shared" si="3"/>
        <v>10 ปี  4 เดือน  15 วัน</v>
      </c>
      <c r="M25" s="218">
        <f t="shared" si="6"/>
        <v>800</v>
      </c>
      <c r="N25" s="206"/>
      <c r="O25" s="256"/>
      <c r="U25" s="110">
        <v>7</v>
      </c>
      <c r="V25" s="94">
        <f>COUNTIF(I6:I112,"7")</f>
        <v>1</v>
      </c>
      <c r="X25" s="97"/>
      <c r="Y25" s="97"/>
    </row>
    <row r="26" spans="1:23" s="53" customFormat="1" ht="23.25">
      <c r="A26" s="20">
        <f t="shared" si="5"/>
        <v>20</v>
      </c>
      <c r="B26" s="229" t="s">
        <v>214</v>
      </c>
      <c r="C26" s="230" t="s">
        <v>250</v>
      </c>
      <c r="D26" s="231" t="s">
        <v>251</v>
      </c>
      <c r="E26" s="235" t="s">
        <v>100</v>
      </c>
      <c r="F26" s="231" t="s">
        <v>188</v>
      </c>
      <c r="G26" s="236" t="s">
        <v>252</v>
      </c>
      <c r="H26" s="225">
        <v>236789</v>
      </c>
      <c r="I26" s="28">
        <f t="shared" si="0"/>
        <v>11</v>
      </c>
      <c r="J26" s="227">
        <f t="shared" si="1"/>
        <v>5</v>
      </c>
      <c r="K26" s="227">
        <f t="shared" si="2"/>
        <v>10</v>
      </c>
      <c r="L26" s="227" t="str">
        <f t="shared" si="3"/>
        <v>11 ปี  5 เดือน  10 วัน</v>
      </c>
      <c r="M26" s="218">
        <f t="shared" si="6"/>
        <v>800</v>
      </c>
      <c r="N26" s="117"/>
      <c r="O26" s="257"/>
      <c r="P26" s="42"/>
      <c r="Q26" s="97"/>
      <c r="U26" s="110">
        <v>8</v>
      </c>
      <c r="V26" s="94">
        <f>COUNTIF(I6:I112,"8")</f>
        <v>0</v>
      </c>
      <c r="W26" s="97"/>
    </row>
    <row r="27" spans="1:23" s="53" customFormat="1" ht="23.25">
      <c r="A27" s="20">
        <f t="shared" si="5"/>
        <v>21</v>
      </c>
      <c r="B27" s="237" t="s">
        <v>214</v>
      </c>
      <c r="C27" s="238" t="s">
        <v>253</v>
      </c>
      <c r="D27" s="239" t="s">
        <v>254</v>
      </c>
      <c r="E27" s="243" t="s">
        <v>256</v>
      </c>
      <c r="F27" s="239" t="s">
        <v>188</v>
      </c>
      <c r="G27" s="244" t="s">
        <v>255</v>
      </c>
      <c r="H27" s="225">
        <v>236014</v>
      </c>
      <c r="I27" s="28">
        <f t="shared" si="0"/>
        <v>13</v>
      </c>
      <c r="J27" s="227">
        <f t="shared" si="1"/>
        <v>6</v>
      </c>
      <c r="K27" s="227">
        <f t="shared" si="2"/>
        <v>23</v>
      </c>
      <c r="L27" s="227" t="str">
        <f t="shared" si="3"/>
        <v>13 ปี  6 เดือน  23 วัน</v>
      </c>
      <c r="M27" s="218">
        <f t="shared" si="6"/>
        <v>800</v>
      </c>
      <c r="N27" s="240"/>
      <c r="O27" s="111"/>
      <c r="Q27" s="97"/>
      <c r="U27" s="110">
        <v>9</v>
      </c>
      <c r="V27" s="94">
        <f>COUNTIF(I6:I112,"9")</f>
        <v>0</v>
      </c>
      <c r="W27" s="97"/>
    </row>
    <row r="28" spans="1:23" s="54" customFormat="1" ht="23.25">
      <c r="A28" s="20">
        <f t="shared" si="5"/>
        <v>22</v>
      </c>
      <c r="B28" s="213" t="s">
        <v>29</v>
      </c>
      <c r="C28" s="214" t="s">
        <v>102</v>
      </c>
      <c r="D28" s="215" t="s">
        <v>257</v>
      </c>
      <c r="E28" s="246" t="s">
        <v>258</v>
      </c>
      <c r="F28" s="228" t="s">
        <v>188</v>
      </c>
      <c r="G28" s="245" t="s">
        <v>259</v>
      </c>
      <c r="H28" s="225">
        <v>224077</v>
      </c>
      <c r="I28" s="28">
        <f t="shared" si="0"/>
        <v>46</v>
      </c>
      <c r="J28" s="227">
        <f t="shared" si="1"/>
        <v>2</v>
      </c>
      <c r="K28" s="227">
        <f t="shared" si="2"/>
        <v>29</v>
      </c>
      <c r="L28" s="227" t="str">
        <f t="shared" si="3"/>
        <v>46 ปี  2 เดือน  29 วัน</v>
      </c>
      <c r="M28" s="218">
        <f t="shared" si="6"/>
        <v>800</v>
      </c>
      <c r="N28" s="211"/>
      <c r="O28" s="258"/>
      <c r="P28" s="53"/>
      <c r="Q28" s="97"/>
      <c r="U28" s="110">
        <v>10</v>
      </c>
      <c r="V28" s="94">
        <f>COUNTIF(I6:I112,"10")</f>
        <v>3</v>
      </c>
      <c r="W28" s="97"/>
    </row>
    <row r="29" spans="1:23" s="1" customFormat="1" ht="23.25">
      <c r="A29" s="20">
        <f t="shared" si="5"/>
        <v>23</v>
      </c>
      <c r="B29" s="213" t="s">
        <v>31</v>
      </c>
      <c r="C29" s="214" t="s">
        <v>260</v>
      </c>
      <c r="D29" s="215" t="s">
        <v>261</v>
      </c>
      <c r="E29" s="246" t="s">
        <v>262</v>
      </c>
      <c r="F29" s="228" t="s">
        <v>188</v>
      </c>
      <c r="G29" s="208" t="s">
        <v>263</v>
      </c>
      <c r="H29" s="225">
        <v>229947</v>
      </c>
      <c r="I29" s="28">
        <f t="shared" si="0"/>
        <v>30</v>
      </c>
      <c r="J29" s="227">
        <f t="shared" si="1"/>
        <v>2</v>
      </c>
      <c r="K29" s="227">
        <f t="shared" si="2"/>
        <v>3</v>
      </c>
      <c r="L29" s="227" t="str">
        <f t="shared" si="3"/>
        <v>30 ปี  2 เดือน  3 วัน</v>
      </c>
      <c r="M29" s="218">
        <f t="shared" si="6"/>
        <v>800</v>
      </c>
      <c r="N29" s="212"/>
      <c r="O29" s="258"/>
      <c r="P29" s="54"/>
      <c r="Q29" s="97"/>
      <c r="U29" s="110">
        <v>11</v>
      </c>
      <c r="V29" s="94">
        <f>COUNTIF(I6:I112,"11")</f>
        <v>1</v>
      </c>
      <c r="W29" s="97"/>
    </row>
    <row r="30" spans="1:25" s="56" customFormat="1" ht="21">
      <c r="A30" s="20">
        <f t="shared" si="5"/>
        <v>24</v>
      </c>
      <c r="B30" s="213" t="s">
        <v>30</v>
      </c>
      <c r="C30" s="214" t="s">
        <v>107</v>
      </c>
      <c r="D30" s="215" t="s">
        <v>264</v>
      </c>
      <c r="E30" s="246" t="s">
        <v>265</v>
      </c>
      <c r="F30" s="217" t="s">
        <v>188</v>
      </c>
      <c r="G30" s="208" t="s">
        <v>266</v>
      </c>
      <c r="H30" s="225">
        <v>222052</v>
      </c>
      <c r="I30" s="28">
        <f t="shared" si="0"/>
        <v>51</v>
      </c>
      <c r="J30" s="227">
        <f t="shared" si="1"/>
        <v>9</v>
      </c>
      <c r="K30" s="227">
        <f t="shared" si="2"/>
        <v>15</v>
      </c>
      <c r="L30" s="227" t="str">
        <f t="shared" si="3"/>
        <v>51 ปี  9 เดือน  15 วัน</v>
      </c>
      <c r="M30" s="218">
        <f t="shared" si="6"/>
        <v>800</v>
      </c>
      <c r="N30" s="210"/>
      <c r="O30" s="259"/>
      <c r="P30" s="78"/>
      <c r="Q30" s="112"/>
      <c r="U30" s="153">
        <v>12</v>
      </c>
      <c r="V30" s="94">
        <f>COUNTIF(I6:I112,"12")</f>
        <v>1</v>
      </c>
      <c r="W30" s="112"/>
      <c r="X30" s="112"/>
      <c r="Y30" s="112"/>
    </row>
    <row r="31" spans="1:25" s="56" customFormat="1" ht="21">
      <c r="A31" s="20">
        <f t="shared" si="5"/>
        <v>25</v>
      </c>
      <c r="B31" s="213" t="s">
        <v>31</v>
      </c>
      <c r="C31" s="214" t="s">
        <v>267</v>
      </c>
      <c r="D31" s="215" t="s">
        <v>268</v>
      </c>
      <c r="E31" s="246" t="s">
        <v>108</v>
      </c>
      <c r="F31" s="217" t="s">
        <v>188</v>
      </c>
      <c r="G31" s="208" t="s">
        <v>269</v>
      </c>
      <c r="H31" s="225">
        <v>231832</v>
      </c>
      <c r="I31" s="28">
        <f t="shared" si="0"/>
        <v>25</v>
      </c>
      <c r="J31" s="227">
        <f t="shared" si="1"/>
        <v>0</v>
      </c>
      <c r="K31" s="227">
        <f t="shared" si="2"/>
        <v>6</v>
      </c>
      <c r="L31" s="227" t="str">
        <f t="shared" si="3"/>
        <v>25 ปี  0 เดือน  6 วัน</v>
      </c>
      <c r="M31" s="218">
        <f t="shared" si="6"/>
        <v>800</v>
      </c>
      <c r="N31" s="210"/>
      <c r="O31" s="259"/>
      <c r="P31" s="78"/>
      <c r="Q31" s="112"/>
      <c r="U31" s="153">
        <v>13</v>
      </c>
      <c r="V31" s="94">
        <f>COUNTIF(I6:I112,"13")</f>
        <v>1</v>
      </c>
      <c r="W31" s="112"/>
      <c r="X31" s="112"/>
      <c r="Y31" s="112"/>
    </row>
    <row r="32" spans="1:25" s="56" customFormat="1" ht="21">
      <c r="A32" s="20">
        <f t="shared" si="5"/>
        <v>26</v>
      </c>
      <c r="B32" s="213" t="s">
        <v>29</v>
      </c>
      <c r="C32" s="214" t="s">
        <v>270</v>
      </c>
      <c r="D32" s="215" t="s">
        <v>271</v>
      </c>
      <c r="E32" s="246" t="s">
        <v>272</v>
      </c>
      <c r="F32" s="217" t="s">
        <v>188</v>
      </c>
      <c r="G32" s="208" t="s">
        <v>273</v>
      </c>
      <c r="H32" s="225">
        <v>224719</v>
      </c>
      <c r="I32" s="28">
        <f t="shared" si="0"/>
        <v>44</v>
      </c>
      <c r="J32" s="227">
        <f t="shared" si="1"/>
        <v>5</v>
      </c>
      <c r="K32" s="227">
        <f t="shared" si="2"/>
        <v>26</v>
      </c>
      <c r="L32" s="227" t="str">
        <f t="shared" si="3"/>
        <v>44 ปี  5 เดือน  26 วัน</v>
      </c>
      <c r="M32" s="218">
        <f t="shared" si="6"/>
        <v>800</v>
      </c>
      <c r="N32" s="210"/>
      <c r="O32" s="259"/>
      <c r="P32" s="78"/>
      <c r="Q32" s="112"/>
      <c r="U32" s="153">
        <v>14</v>
      </c>
      <c r="V32" s="94">
        <f>COUNTIF(I6:I112,"14")</f>
        <v>0</v>
      </c>
      <c r="W32" s="101"/>
      <c r="X32" s="374"/>
      <c r="Y32" s="374"/>
    </row>
    <row r="33" spans="1:25" s="56" customFormat="1" ht="21">
      <c r="A33" s="20">
        <f t="shared" si="5"/>
        <v>27</v>
      </c>
      <c r="B33" s="213" t="s">
        <v>31</v>
      </c>
      <c r="C33" s="214" t="s">
        <v>274</v>
      </c>
      <c r="D33" s="215" t="s">
        <v>275</v>
      </c>
      <c r="E33" s="246" t="s">
        <v>276</v>
      </c>
      <c r="F33" s="217" t="s">
        <v>188</v>
      </c>
      <c r="G33" s="208" t="s">
        <v>277</v>
      </c>
      <c r="H33" s="225">
        <v>225076</v>
      </c>
      <c r="I33" s="28">
        <f t="shared" si="0"/>
        <v>43</v>
      </c>
      <c r="J33" s="227">
        <f t="shared" si="1"/>
        <v>6</v>
      </c>
      <c r="K33" s="227">
        <f t="shared" si="2"/>
        <v>4</v>
      </c>
      <c r="L33" s="227" t="str">
        <f t="shared" si="3"/>
        <v>43 ปี  6 เดือน  4 วัน</v>
      </c>
      <c r="M33" s="218">
        <f t="shared" si="6"/>
        <v>800</v>
      </c>
      <c r="N33" s="210"/>
      <c r="O33" s="259"/>
      <c r="P33" s="78"/>
      <c r="Q33" s="112"/>
      <c r="U33" s="110">
        <v>15</v>
      </c>
      <c r="V33" s="94">
        <f>COUNTIF(I6:I112,"15")</f>
        <v>0</v>
      </c>
      <c r="W33" s="101"/>
      <c r="X33" s="157"/>
      <c r="Y33" s="92"/>
    </row>
    <row r="34" spans="1:25" s="56" customFormat="1" ht="21">
      <c r="A34" s="20">
        <f t="shared" si="5"/>
        <v>28</v>
      </c>
      <c r="B34" s="213" t="s">
        <v>31</v>
      </c>
      <c r="C34" s="214" t="s">
        <v>278</v>
      </c>
      <c r="D34" s="215" t="s">
        <v>279</v>
      </c>
      <c r="E34" s="246" t="s">
        <v>280</v>
      </c>
      <c r="F34" s="217" t="s">
        <v>188</v>
      </c>
      <c r="G34" s="208" t="s">
        <v>281</v>
      </c>
      <c r="H34" s="225">
        <v>226305</v>
      </c>
      <c r="I34" s="28">
        <f t="shared" si="0"/>
        <v>40</v>
      </c>
      <c r="J34" s="227">
        <f t="shared" si="1"/>
        <v>1</v>
      </c>
      <c r="K34" s="227">
        <f t="shared" si="2"/>
        <v>23</v>
      </c>
      <c r="L34" s="227" t="str">
        <f t="shared" si="3"/>
        <v>40 ปี  1 เดือน  23 วัน</v>
      </c>
      <c r="M34" s="218">
        <f t="shared" si="6"/>
        <v>800</v>
      </c>
      <c r="N34" s="210"/>
      <c r="O34" s="259"/>
      <c r="P34" s="78"/>
      <c r="Q34" s="112"/>
      <c r="U34" s="110">
        <v>16</v>
      </c>
      <c r="V34" s="94">
        <f>COUNTIF(I6:I112,"16")</f>
        <v>0</v>
      </c>
      <c r="W34" s="101"/>
      <c r="X34" s="157"/>
      <c r="Y34" s="92"/>
    </row>
    <row r="35" spans="1:25" s="56" customFormat="1" ht="21">
      <c r="A35" s="20">
        <f t="shared" si="5"/>
        <v>29</v>
      </c>
      <c r="B35" s="213" t="s">
        <v>29</v>
      </c>
      <c r="C35" s="214" t="s">
        <v>282</v>
      </c>
      <c r="D35" s="215" t="s">
        <v>283</v>
      </c>
      <c r="E35" s="246" t="s">
        <v>284</v>
      </c>
      <c r="F35" s="217" t="s">
        <v>188</v>
      </c>
      <c r="G35" s="208" t="s">
        <v>285</v>
      </c>
      <c r="H35" s="225">
        <v>223279</v>
      </c>
      <c r="I35" s="28">
        <f t="shared" si="0"/>
        <v>48</v>
      </c>
      <c r="J35" s="227">
        <f t="shared" si="1"/>
        <v>5</v>
      </c>
      <c r="K35" s="227">
        <f t="shared" si="2"/>
        <v>5</v>
      </c>
      <c r="L35" s="227" t="str">
        <f t="shared" si="3"/>
        <v>48 ปี  5 เดือน  5 วัน</v>
      </c>
      <c r="M35" s="218">
        <f t="shared" si="6"/>
        <v>800</v>
      </c>
      <c r="N35" s="210"/>
      <c r="O35" s="259"/>
      <c r="P35" s="78"/>
      <c r="Q35" s="112"/>
      <c r="U35" s="110">
        <v>17</v>
      </c>
      <c r="V35" s="94">
        <f>COUNTIF(I6:I112,"17")</f>
        <v>1</v>
      </c>
      <c r="W35" s="104"/>
      <c r="X35" s="157"/>
      <c r="Y35" s="92"/>
    </row>
    <row r="36" spans="1:25" s="56" customFormat="1" ht="21">
      <c r="A36" s="20">
        <f t="shared" si="5"/>
        <v>30</v>
      </c>
      <c r="B36" s="232" t="s">
        <v>31</v>
      </c>
      <c r="C36" s="233" t="s">
        <v>97</v>
      </c>
      <c r="D36" s="234" t="s">
        <v>98</v>
      </c>
      <c r="E36" s="248" t="s">
        <v>99</v>
      </c>
      <c r="F36" s="234" t="s">
        <v>188</v>
      </c>
      <c r="G36" s="241" t="s">
        <v>286</v>
      </c>
      <c r="H36" s="225">
        <v>216606</v>
      </c>
      <c r="I36" s="28">
        <f t="shared" si="0"/>
        <v>66</v>
      </c>
      <c r="J36" s="227">
        <f t="shared" si="1"/>
        <v>8</v>
      </c>
      <c r="K36" s="227">
        <f t="shared" si="2"/>
        <v>15</v>
      </c>
      <c r="L36" s="227" t="str">
        <f t="shared" si="3"/>
        <v>66 ปี  8 เดือน  15 วัน</v>
      </c>
      <c r="M36" s="218">
        <f t="shared" si="6"/>
        <v>800</v>
      </c>
      <c r="N36" s="242"/>
      <c r="O36" s="260"/>
      <c r="P36" s="78"/>
      <c r="Q36" s="112"/>
      <c r="U36" s="110">
        <v>18</v>
      </c>
      <c r="V36" s="94">
        <f>COUNTIF(I6:I112,"18")</f>
        <v>0</v>
      </c>
      <c r="W36" s="104"/>
      <c r="X36" s="374"/>
      <c r="Y36" s="374"/>
    </row>
    <row r="37" spans="1:25" s="56" customFormat="1" ht="21">
      <c r="A37" s="20">
        <f t="shared" si="5"/>
        <v>31</v>
      </c>
      <c r="B37" s="213" t="s">
        <v>31</v>
      </c>
      <c r="C37" s="214" t="s">
        <v>287</v>
      </c>
      <c r="D37" s="215" t="s">
        <v>288</v>
      </c>
      <c r="E37" s="214" t="s">
        <v>161</v>
      </c>
      <c r="F37" s="215" t="s">
        <v>188</v>
      </c>
      <c r="G37" s="209" t="s">
        <v>289</v>
      </c>
      <c r="H37" s="225">
        <v>220103</v>
      </c>
      <c r="I37" s="28">
        <f t="shared" si="0"/>
        <v>57</v>
      </c>
      <c r="J37" s="227">
        <f t="shared" si="1"/>
        <v>1</v>
      </c>
      <c r="K37" s="227">
        <f t="shared" si="2"/>
        <v>16</v>
      </c>
      <c r="L37" s="227" t="str">
        <f t="shared" si="3"/>
        <v>57 ปี  1 เดือน  16 วัน</v>
      </c>
      <c r="M37" s="218">
        <f t="shared" si="6"/>
        <v>800</v>
      </c>
      <c r="N37" s="207"/>
      <c r="O37" s="261"/>
      <c r="P37" s="78"/>
      <c r="Q37" s="112"/>
      <c r="U37" s="110">
        <v>19</v>
      </c>
      <c r="V37" s="94">
        <f>COUNTIF(I6:I112,"19")</f>
        <v>0</v>
      </c>
      <c r="W37" s="97"/>
      <c r="X37" s="97"/>
      <c r="Y37" s="97"/>
    </row>
    <row r="38" spans="1:25" s="56" customFormat="1" ht="23.25">
      <c r="A38" s="20">
        <f t="shared" si="5"/>
        <v>32</v>
      </c>
      <c r="B38" s="213" t="s">
        <v>245</v>
      </c>
      <c r="C38" s="214" t="s">
        <v>290</v>
      </c>
      <c r="D38" s="215" t="s">
        <v>291</v>
      </c>
      <c r="E38" s="214">
        <v>64</v>
      </c>
      <c r="F38" s="215" t="s">
        <v>188</v>
      </c>
      <c r="G38" s="209" t="s">
        <v>292</v>
      </c>
      <c r="H38" s="225">
        <v>239794</v>
      </c>
      <c r="I38" s="28">
        <f t="shared" si="0"/>
        <v>3</v>
      </c>
      <c r="J38" s="227">
        <f t="shared" si="1"/>
        <v>2</v>
      </c>
      <c r="K38" s="227">
        <f t="shared" si="2"/>
        <v>18</v>
      </c>
      <c r="L38" s="227" t="str">
        <f t="shared" si="3"/>
        <v>3 ปี  2 เดือน  18 วัน</v>
      </c>
      <c r="M38" s="218">
        <f t="shared" si="6"/>
        <v>800</v>
      </c>
      <c r="N38" s="207"/>
      <c r="O38" s="310" t="s">
        <v>293</v>
      </c>
      <c r="P38" s="78"/>
      <c r="Q38" s="112"/>
      <c r="U38" s="110">
        <v>20</v>
      </c>
      <c r="V38" s="94">
        <f>COUNTIF(I6:I112,"20")</f>
        <v>1</v>
      </c>
      <c r="W38" s="97"/>
      <c r="X38" s="53"/>
      <c r="Y38" s="53"/>
    </row>
    <row r="39" spans="1:25" s="56" customFormat="1" ht="23.25">
      <c r="A39" s="20">
        <f t="shared" si="5"/>
        <v>33</v>
      </c>
      <c r="B39" s="213" t="s">
        <v>29</v>
      </c>
      <c r="C39" s="214" t="s">
        <v>35</v>
      </c>
      <c r="D39" s="215" t="s">
        <v>195</v>
      </c>
      <c r="E39" s="246" t="s">
        <v>196</v>
      </c>
      <c r="F39" s="228" t="s">
        <v>188</v>
      </c>
      <c r="G39" s="245" t="s">
        <v>197</v>
      </c>
      <c r="H39" s="225">
        <v>218641</v>
      </c>
      <c r="I39" s="28">
        <f t="shared" si="0"/>
        <v>61</v>
      </c>
      <c r="J39" s="227">
        <f t="shared" si="1"/>
        <v>1</v>
      </c>
      <c r="K39" s="227">
        <f t="shared" si="2"/>
        <v>18</v>
      </c>
      <c r="L39" s="227" t="str">
        <f t="shared" si="3"/>
        <v>61 ปี  1 เดือน  18 วัน</v>
      </c>
      <c r="M39" s="218">
        <f t="shared" si="6"/>
        <v>800</v>
      </c>
      <c r="N39" s="211"/>
      <c r="O39" s="311" t="s">
        <v>293</v>
      </c>
      <c r="P39" s="78"/>
      <c r="Q39" s="112"/>
      <c r="U39" s="110">
        <v>21</v>
      </c>
      <c r="V39" s="94">
        <f>COUNTIF(I6:I112,"21")</f>
        <v>0</v>
      </c>
      <c r="W39" s="97"/>
      <c r="X39" s="53"/>
      <c r="Y39" s="53"/>
    </row>
    <row r="40" spans="1:25" s="56" customFormat="1" ht="23.25">
      <c r="A40" s="20">
        <f t="shared" si="5"/>
        <v>34</v>
      </c>
      <c r="B40" s="213" t="s">
        <v>30</v>
      </c>
      <c r="C40" s="214" t="s">
        <v>191</v>
      </c>
      <c r="D40" s="215" t="s">
        <v>192</v>
      </c>
      <c r="E40" s="246" t="s">
        <v>193</v>
      </c>
      <c r="F40" s="228" t="s">
        <v>188</v>
      </c>
      <c r="G40" s="208" t="s">
        <v>194</v>
      </c>
      <c r="H40" s="225">
        <v>216957</v>
      </c>
      <c r="I40" s="28">
        <f t="shared" si="0"/>
        <v>65</v>
      </c>
      <c r="J40" s="227">
        <f t="shared" si="1"/>
        <v>8</v>
      </c>
      <c r="K40" s="227">
        <f t="shared" si="2"/>
        <v>29</v>
      </c>
      <c r="L40" s="227" t="str">
        <f t="shared" si="3"/>
        <v>65 ปี  8 เดือน  29 วัน</v>
      </c>
      <c r="M40" s="218">
        <f t="shared" si="6"/>
        <v>800</v>
      </c>
      <c r="N40" s="212"/>
      <c r="O40" s="311" t="s">
        <v>293</v>
      </c>
      <c r="P40" s="78"/>
      <c r="Q40" s="112"/>
      <c r="U40" s="110">
        <v>22</v>
      </c>
      <c r="V40" s="94">
        <f>COUNTIF(I6:I112,"22")</f>
        <v>1</v>
      </c>
      <c r="W40" s="97"/>
      <c r="X40" s="54"/>
      <c r="Y40" s="54"/>
    </row>
    <row r="41" spans="1:25" s="56" customFormat="1" ht="21">
      <c r="A41" s="20">
        <f t="shared" si="5"/>
        <v>35</v>
      </c>
      <c r="B41" s="21" t="s">
        <v>29</v>
      </c>
      <c r="C41" s="22" t="s">
        <v>77</v>
      </c>
      <c r="D41" s="23" t="s">
        <v>189</v>
      </c>
      <c r="E41" s="247" t="s">
        <v>190</v>
      </c>
      <c r="F41" s="216" t="s">
        <v>188</v>
      </c>
      <c r="G41" s="26" t="s">
        <v>294</v>
      </c>
      <c r="H41" s="225">
        <v>218174</v>
      </c>
      <c r="I41" s="28">
        <f t="shared" si="0"/>
        <v>62</v>
      </c>
      <c r="J41" s="227">
        <f t="shared" si="1"/>
        <v>4</v>
      </c>
      <c r="K41" s="227">
        <f t="shared" si="2"/>
        <v>28</v>
      </c>
      <c r="L41" s="227" t="str">
        <f t="shared" si="3"/>
        <v>62 ปี  4 เดือน  28 วัน</v>
      </c>
      <c r="M41" s="218">
        <f t="shared" si="6"/>
        <v>800</v>
      </c>
      <c r="N41" s="205"/>
      <c r="O41" s="312" t="s">
        <v>293</v>
      </c>
      <c r="P41" s="78"/>
      <c r="Q41" s="112"/>
      <c r="U41" s="153">
        <v>23</v>
      </c>
      <c r="V41" s="94">
        <f>COUNTIF(I6:I112,"23")</f>
        <v>0</v>
      </c>
      <c r="W41" s="112"/>
      <c r="X41" s="112"/>
      <c r="Y41" s="112"/>
    </row>
    <row r="42" spans="1:25" s="56" customFormat="1" ht="21">
      <c r="A42" s="20">
        <f t="shared" si="5"/>
        <v>36</v>
      </c>
      <c r="B42" s="21" t="s">
        <v>30</v>
      </c>
      <c r="C42" s="22" t="s">
        <v>352</v>
      </c>
      <c r="D42" s="23" t="s">
        <v>353</v>
      </c>
      <c r="E42" s="247" t="s">
        <v>354</v>
      </c>
      <c r="F42" s="216" t="s">
        <v>188</v>
      </c>
      <c r="G42" s="26">
        <v>3570100223443</v>
      </c>
      <c r="H42" s="225">
        <v>218934</v>
      </c>
      <c r="I42" s="28">
        <f t="shared" si="0"/>
        <v>60</v>
      </c>
      <c r="J42" s="227">
        <f t="shared" si="1"/>
        <v>3</v>
      </c>
      <c r="K42" s="227">
        <f t="shared" si="2"/>
        <v>29</v>
      </c>
      <c r="L42" s="227" t="str">
        <f t="shared" si="3"/>
        <v>60 ปี  3 เดือน  29 วัน</v>
      </c>
      <c r="M42" s="218">
        <f t="shared" si="6"/>
        <v>800</v>
      </c>
      <c r="N42" s="205"/>
      <c r="O42" s="325" t="s">
        <v>379</v>
      </c>
      <c r="P42" s="78"/>
      <c r="Q42" s="341">
        <v>1</v>
      </c>
      <c r="U42" s="153">
        <v>24</v>
      </c>
      <c r="V42" s="94">
        <f>COUNTIF(I6:I112,"24")</f>
        <v>1</v>
      </c>
      <c r="W42" s="112"/>
      <c r="X42" s="112"/>
      <c r="Y42" s="112"/>
    </row>
    <row r="43" spans="1:24" s="56" customFormat="1" ht="21">
      <c r="A43" s="20"/>
      <c r="B43" s="136" t="s">
        <v>29</v>
      </c>
      <c r="C43" s="137" t="s">
        <v>355</v>
      </c>
      <c r="D43" s="138" t="s">
        <v>158</v>
      </c>
      <c r="E43" s="334" t="s">
        <v>159</v>
      </c>
      <c r="F43" s="335" t="s">
        <v>188</v>
      </c>
      <c r="G43" s="139">
        <v>3740300255665</v>
      </c>
      <c r="H43" s="336">
        <v>213779</v>
      </c>
      <c r="I43" s="89">
        <v>0</v>
      </c>
      <c r="J43" s="227">
        <f t="shared" si="1"/>
        <v>5</v>
      </c>
      <c r="K43" s="227">
        <f t="shared" si="2"/>
        <v>10</v>
      </c>
      <c r="L43" s="227" t="str">
        <f t="shared" si="3"/>
        <v>0 ปี  5 เดือน  10 วัน</v>
      </c>
      <c r="M43" s="337" t="s">
        <v>399</v>
      </c>
      <c r="N43" s="338"/>
      <c r="O43" s="339" t="s">
        <v>379</v>
      </c>
      <c r="P43" s="78"/>
      <c r="Q43" s="112"/>
      <c r="R43" s="112"/>
      <c r="S43" s="112"/>
      <c r="T43" s="112"/>
      <c r="U43" s="153">
        <v>25</v>
      </c>
      <c r="V43" s="94">
        <f>COUNTIF(I6:I112,"25")</f>
        <v>2</v>
      </c>
      <c r="W43" s="112"/>
      <c r="X43" s="78"/>
    </row>
    <row r="44" spans="1:24" s="56" customFormat="1" ht="21">
      <c r="A44" s="20">
        <v>37</v>
      </c>
      <c r="B44" s="322" t="s">
        <v>29</v>
      </c>
      <c r="C44" s="22" t="s">
        <v>151</v>
      </c>
      <c r="D44" s="324" t="s">
        <v>152</v>
      </c>
      <c r="E44" s="247" t="s">
        <v>153</v>
      </c>
      <c r="F44" s="216" t="s">
        <v>188</v>
      </c>
      <c r="G44" s="26">
        <v>3101801298371</v>
      </c>
      <c r="H44" s="225">
        <v>212963</v>
      </c>
      <c r="I44" s="28">
        <f t="shared" si="0"/>
        <v>76</v>
      </c>
      <c r="J44" s="227">
        <f t="shared" si="1"/>
        <v>8</v>
      </c>
      <c r="K44" s="227">
        <f t="shared" si="2"/>
        <v>5</v>
      </c>
      <c r="L44" s="227" t="str">
        <f t="shared" si="3"/>
        <v>76 ปี  8 เดือน  5 วัน</v>
      </c>
      <c r="M44" s="218">
        <f t="shared" si="6"/>
        <v>800</v>
      </c>
      <c r="N44" s="205"/>
      <c r="O44" s="325" t="s">
        <v>379</v>
      </c>
      <c r="P44" s="78"/>
      <c r="Q44" s="341">
        <v>3</v>
      </c>
      <c r="R44" s="92"/>
      <c r="S44" s="92"/>
      <c r="T44" s="112"/>
      <c r="U44" s="153">
        <v>26</v>
      </c>
      <c r="V44" s="94">
        <f>COUNTIF(I6:I112,"26")</f>
        <v>3</v>
      </c>
      <c r="W44" s="112"/>
      <c r="X44" s="78"/>
    </row>
    <row r="45" spans="1:24" s="56" customFormat="1" ht="21">
      <c r="A45" s="20">
        <f t="shared" si="5"/>
        <v>38</v>
      </c>
      <c r="B45" s="322" t="s">
        <v>214</v>
      </c>
      <c r="C45" s="323" t="s">
        <v>360</v>
      </c>
      <c r="D45" s="324" t="s">
        <v>361</v>
      </c>
      <c r="E45" s="247" t="s">
        <v>362</v>
      </c>
      <c r="F45" s="216" t="s">
        <v>188</v>
      </c>
      <c r="G45" s="26">
        <v>1739902223470</v>
      </c>
      <c r="H45" s="225">
        <v>237038</v>
      </c>
      <c r="I45" s="28">
        <f t="shared" si="0"/>
        <v>10</v>
      </c>
      <c r="J45" s="227">
        <f t="shared" si="1"/>
        <v>9</v>
      </c>
      <c r="K45" s="227">
        <f t="shared" si="2"/>
        <v>5</v>
      </c>
      <c r="L45" s="227" t="str">
        <f t="shared" si="3"/>
        <v>10 ปี  9 เดือน  5 วัน</v>
      </c>
      <c r="M45" s="218">
        <f t="shared" si="6"/>
        <v>800</v>
      </c>
      <c r="N45" s="205"/>
      <c r="O45" s="325" t="s">
        <v>379</v>
      </c>
      <c r="P45" s="78"/>
      <c r="Q45" s="341">
        <v>4</v>
      </c>
      <c r="R45" s="92"/>
      <c r="S45" s="92"/>
      <c r="T45" s="112"/>
      <c r="U45" s="153">
        <v>27</v>
      </c>
      <c r="V45" s="94">
        <f>COUNTIF(I6:I112,"27")</f>
        <v>0</v>
      </c>
      <c r="W45" s="112"/>
      <c r="X45" s="78"/>
    </row>
    <row r="46" spans="1:24" s="56" customFormat="1" ht="21">
      <c r="A46" s="20">
        <f t="shared" si="5"/>
        <v>39</v>
      </c>
      <c r="B46" s="136" t="s">
        <v>29</v>
      </c>
      <c r="C46" s="137" t="s">
        <v>363</v>
      </c>
      <c r="D46" s="138" t="s">
        <v>364</v>
      </c>
      <c r="E46" s="247" t="s">
        <v>365</v>
      </c>
      <c r="F46" s="216" t="s">
        <v>188</v>
      </c>
      <c r="G46" s="26">
        <v>3101900755622</v>
      </c>
      <c r="H46" s="225">
        <v>227076</v>
      </c>
      <c r="I46" s="28">
        <f t="shared" si="0"/>
        <v>38</v>
      </c>
      <c r="J46" s="227">
        <f t="shared" si="1"/>
        <v>0</v>
      </c>
      <c r="K46" s="227">
        <f t="shared" si="2"/>
        <v>14</v>
      </c>
      <c r="L46" s="227" t="str">
        <f t="shared" si="3"/>
        <v>38 ปี  0 เดือน  14 วัน</v>
      </c>
      <c r="M46" s="218">
        <f t="shared" si="6"/>
        <v>800</v>
      </c>
      <c r="N46" s="205"/>
      <c r="O46" s="170" t="s">
        <v>356</v>
      </c>
      <c r="P46" s="78"/>
      <c r="Q46" s="341">
        <v>5</v>
      </c>
      <c r="R46" s="92"/>
      <c r="S46" s="92"/>
      <c r="T46" s="112"/>
      <c r="U46" s="153">
        <v>28</v>
      </c>
      <c r="V46" s="94">
        <f>COUNTIF(I6:I112,"28")</f>
        <v>0</v>
      </c>
      <c r="W46" s="112"/>
      <c r="X46" s="78"/>
    </row>
    <row r="47" spans="1:24" s="56" customFormat="1" ht="21">
      <c r="A47" s="20">
        <f t="shared" si="5"/>
        <v>40</v>
      </c>
      <c r="B47" s="322" t="s">
        <v>29</v>
      </c>
      <c r="C47" s="323" t="s">
        <v>366</v>
      </c>
      <c r="D47" s="324" t="s">
        <v>95</v>
      </c>
      <c r="E47" s="247" t="s">
        <v>367</v>
      </c>
      <c r="F47" s="216" t="s">
        <v>188</v>
      </c>
      <c r="G47" s="26">
        <v>3730600574715</v>
      </c>
      <c r="H47" s="225">
        <v>228439</v>
      </c>
      <c r="I47" s="28">
        <f t="shared" si="0"/>
        <v>34</v>
      </c>
      <c r="J47" s="227">
        <f t="shared" si="1"/>
        <v>3</v>
      </c>
      <c r="K47" s="227">
        <f t="shared" si="2"/>
        <v>20</v>
      </c>
      <c r="L47" s="227" t="str">
        <f t="shared" si="3"/>
        <v>34 ปี  3 เดือน  20 วัน</v>
      </c>
      <c r="M47" s="218">
        <f t="shared" si="6"/>
        <v>800</v>
      </c>
      <c r="N47" s="205"/>
      <c r="O47" s="325" t="s">
        <v>379</v>
      </c>
      <c r="P47" s="78"/>
      <c r="Q47" s="341">
        <v>6</v>
      </c>
      <c r="R47" s="92"/>
      <c r="S47" s="92"/>
      <c r="T47" s="112"/>
      <c r="U47" s="153">
        <v>29</v>
      </c>
      <c r="V47" s="94">
        <f>COUNTIF(I6:I112,"29")</f>
        <v>0</v>
      </c>
      <c r="W47" s="112"/>
      <c r="X47" s="78"/>
    </row>
    <row r="48" spans="1:24" s="56" customFormat="1" ht="21">
      <c r="A48" s="20">
        <f t="shared" si="5"/>
        <v>41</v>
      </c>
      <c r="B48" s="322" t="s">
        <v>214</v>
      </c>
      <c r="C48" s="323" t="s">
        <v>368</v>
      </c>
      <c r="D48" s="324" t="s">
        <v>369</v>
      </c>
      <c r="E48" s="247" t="s">
        <v>370</v>
      </c>
      <c r="F48" s="216" t="s">
        <v>188</v>
      </c>
      <c r="G48" s="26">
        <v>1120300205594</v>
      </c>
      <c r="H48" s="225">
        <v>238290</v>
      </c>
      <c r="I48" s="28">
        <f t="shared" si="0"/>
        <v>7</v>
      </c>
      <c r="J48" s="227">
        <f t="shared" si="1"/>
        <v>4</v>
      </c>
      <c r="K48" s="227">
        <f t="shared" si="2"/>
        <v>0</v>
      </c>
      <c r="L48" s="227" t="str">
        <f t="shared" si="3"/>
        <v>7 ปี  4 เดือน  0 วัน</v>
      </c>
      <c r="M48" s="218">
        <f t="shared" si="6"/>
        <v>800</v>
      </c>
      <c r="N48" s="205"/>
      <c r="O48" s="325" t="s">
        <v>379</v>
      </c>
      <c r="P48" s="78"/>
      <c r="Q48" s="341">
        <v>7</v>
      </c>
      <c r="R48" s="92"/>
      <c r="S48" s="92"/>
      <c r="T48" s="112"/>
      <c r="U48" s="153">
        <v>30</v>
      </c>
      <c r="V48" s="94">
        <f>COUNTIF(I6:I112,"30")</f>
        <v>3</v>
      </c>
      <c r="W48" s="112"/>
      <c r="X48" s="78"/>
    </row>
    <row r="49" spans="1:24" s="56" customFormat="1" ht="21">
      <c r="A49" s="20">
        <f t="shared" si="5"/>
        <v>42</v>
      </c>
      <c r="B49" s="322" t="s">
        <v>29</v>
      </c>
      <c r="C49" s="323" t="s">
        <v>45</v>
      </c>
      <c r="D49" s="324" t="s">
        <v>89</v>
      </c>
      <c r="E49" s="247" t="s">
        <v>53</v>
      </c>
      <c r="F49" s="216" t="s">
        <v>188</v>
      </c>
      <c r="G49" s="26">
        <v>3730600576408</v>
      </c>
      <c r="H49" s="225">
        <v>215861</v>
      </c>
      <c r="I49" s="28">
        <f t="shared" si="0"/>
        <v>68</v>
      </c>
      <c r="J49" s="227">
        <f t="shared" si="1"/>
        <v>8</v>
      </c>
      <c r="K49" s="227">
        <f t="shared" si="2"/>
        <v>29</v>
      </c>
      <c r="L49" s="227" t="str">
        <f t="shared" si="3"/>
        <v>68 ปี  8 เดือน  29 วัน</v>
      </c>
      <c r="M49" s="218">
        <f t="shared" si="6"/>
        <v>800</v>
      </c>
      <c r="N49" s="205"/>
      <c r="O49" s="325" t="s">
        <v>379</v>
      </c>
      <c r="P49" s="78"/>
      <c r="Q49" s="341">
        <v>8</v>
      </c>
      <c r="R49" s="92"/>
      <c r="S49" s="92"/>
      <c r="T49" s="112"/>
      <c r="U49" s="153">
        <v>31</v>
      </c>
      <c r="V49" s="94">
        <f>COUNTIF(I6:I112,"31")</f>
        <v>0</v>
      </c>
      <c r="W49" s="112"/>
      <c r="X49" s="78"/>
    </row>
    <row r="50" spans="1:24" s="56" customFormat="1" ht="21">
      <c r="A50" s="20">
        <f t="shared" si="5"/>
        <v>43</v>
      </c>
      <c r="B50" s="136" t="s">
        <v>29</v>
      </c>
      <c r="C50" s="137" t="s">
        <v>371</v>
      </c>
      <c r="D50" s="138" t="s">
        <v>372</v>
      </c>
      <c r="E50" s="247" t="s">
        <v>373</v>
      </c>
      <c r="F50" s="216" t="s">
        <v>188</v>
      </c>
      <c r="G50" s="26">
        <v>3100902831082</v>
      </c>
      <c r="H50" s="225">
        <v>226454</v>
      </c>
      <c r="I50" s="28">
        <f t="shared" si="0"/>
        <v>39</v>
      </c>
      <c r="J50" s="227">
        <f t="shared" si="1"/>
        <v>8</v>
      </c>
      <c r="K50" s="227">
        <f t="shared" si="2"/>
        <v>27</v>
      </c>
      <c r="L50" s="227" t="str">
        <f t="shared" si="3"/>
        <v>39 ปี  8 เดือน  27 วัน</v>
      </c>
      <c r="M50" s="218">
        <f t="shared" si="6"/>
        <v>800</v>
      </c>
      <c r="N50" s="205"/>
      <c r="O50" s="170" t="s">
        <v>356</v>
      </c>
      <c r="P50" s="78"/>
      <c r="Q50" s="341">
        <v>9</v>
      </c>
      <c r="R50" s="92"/>
      <c r="S50" s="92"/>
      <c r="T50" s="112"/>
      <c r="U50" s="153">
        <v>32</v>
      </c>
      <c r="V50" s="94">
        <f>COUNTIF(I6:I112,"32")</f>
        <v>1</v>
      </c>
      <c r="W50" s="112"/>
      <c r="X50" s="78"/>
    </row>
    <row r="51" spans="1:24" s="56" customFormat="1" ht="21">
      <c r="A51" s="20">
        <f t="shared" si="5"/>
        <v>44</v>
      </c>
      <c r="B51" s="322" t="s">
        <v>29</v>
      </c>
      <c r="C51" s="323" t="s">
        <v>43</v>
      </c>
      <c r="D51" s="324" t="s">
        <v>93</v>
      </c>
      <c r="E51" s="247" t="s">
        <v>41</v>
      </c>
      <c r="F51" s="216" t="s">
        <v>188</v>
      </c>
      <c r="G51" s="26">
        <v>3730300928813</v>
      </c>
      <c r="H51" s="225">
        <v>221118</v>
      </c>
      <c r="I51" s="28">
        <f t="shared" si="0"/>
        <v>54</v>
      </c>
      <c r="J51" s="227">
        <f t="shared" si="1"/>
        <v>4</v>
      </c>
      <c r="K51" s="227">
        <f t="shared" si="2"/>
        <v>5</v>
      </c>
      <c r="L51" s="227" t="str">
        <f t="shared" si="3"/>
        <v>54 ปี  4 เดือน  5 วัน</v>
      </c>
      <c r="M51" s="218">
        <f t="shared" si="6"/>
        <v>800</v>
      </c>
      <c r="N51" s="205"/>
      <c r="O51" s="325" t="s">
        <v>379</v>
      </c>
      <c r="P51" s="78"/>
      <c r="Q51" s="341">
        <v>10</v>
      </c>
      <c r="R51" s="92"/>
      <c r="S51" s="92"/>
      <c r="T51" s="112"/>
      <c r="U51" s="153">
        <v>33</v>
      </c>
      <c r="V51" s="94">
        <f>COUNTIF(I6:I112,"33")</f>
        <v>0</v>
      </c>
      <c r="W51" s="112"/>
      <c r="X51" s="78"/>
    </row>
    <row r="52" spans="1:24" s="56" customFormat="1" ht="21">
      <c r="A52" s="20">
        <f t="shared" si="5"/>
        <v>45</v>
      </c>
      <c r="B52" s="327" t="s">
        <v>31</v>
      </c>
      <c r="C52" s="327" t="s">
        <v>385</v>
      </c>
      <c r="D52" s="328" t="s">
        <v>90</v>
      </c>
      <c r="E52" s="326" t="s">
        <v>56</v>
      </c>
      <c r="F52" s="328" t="s">
        <v>188</v>
      </c>
      <c r="G52" s="372" t="s">
        <v>429</v>
      </c>
      <c r="H52" s="371">
        <v>220459</v>
      </c>
      <c r="I52" s="371">
        <f t="shared" si="0"/>
        <v>56</v>
      </c>
      <c r="J52" s="371">
        <f t="shared" si="1"/>
        <v>1</v>
      </c>
      <c r="K52" s="371">
        <f t="shared" si="2"/>
        <v>25</v>
      </c>
      <c r="L52" s="371" t="str">
        <f t="shared" si="3"/>
        <v>56 ปี  1 เดือน  25 วัน</v>
      </c>
      <c r="M52" s="371">
        <f t="shared" si="6"/>
        <v>800</v>
      </c>
      <c r="N52" s="371"/>
      <c r="O52" s="373" t="s">
        <v>384</v>
      </c>
      <c r="P52" s="78"/>
      <c r="Q52" s="341"/>
      <c r="R52" s="92"/>
      <c r="S52" s="92"/>
      <c r="T52" s="112"/>
      <c r="U52" s="153">
        <v>34</v>
      </c>
      <c r="V52" s="94">
        <f>COUNTIF(I6:I112,"34")</f>
        <v>3</v>
      </c>
      <c r="W52" s="112"/>
      <c r="X52" s="78"/>
    </row>
    <row r="53" spans="1:24" s="56" customFormat="1" ht="21">
      <c r="A53" s="20">
        <f t="shared" si="5"/>
        <v>46</v>
      </c>
      <c r="B53" s="21" t="s">
        <v>31</v>
      </c>
      <c r="C53" s="356" t="s">
        <v>386</v>
      </c>
      <c r="D53" s="23" t="s">
        <v>387</v>
      </c>
      <c r="E53" s="24" t="s">
        <v>390</v>
      </c>
      <c r="F53" s="216" t="s">
        <v>188</v>
      </c>
      <c r="G53" s="26">
        <v>3101202279787</v>
      </c>
      <c r="H53" s="225">
        <v>225843</v>
      </c>
      <c r="I53" s="28">
        <f t="shared" si="0"/>
        <v>41</v>
      </c>
      <c r="J53" s="227">
        <f t="shared" si="1"/>
        <v>4</v>
      </c>
      <c r="K53" s="227">
        <f t="shared" si="2"/>
        <v>28</v>
      </c>
      <c r="L53" s="227" t="str">
        <f t="shared" si="3"/>
        <v>41 ปี  4 เดือน  28 วัน</v>
      </c>
      <c r="M53" s="218">
        <f t="shared" si="6"/>
        <v>800</v>
      </c>
      <c r="N53" s="205"/>
      <c r="O53" s="170" t="s">
        <v>356</v>
      </c>
      <c r="P53" s="78"/>
      <c r="Q53" s="341"/>
      <c r="R53" s="92"/>
      <c r="S53" s="92"/>
      <c r="T53" s="112"/>
      <c r="U53" s="153">
        <v>35</v>
      </c>
      <c r="V53" s="94">
        <f>COUNTIF(I6:I112,"35")</f>
        <v>0</v>
      </c>
      <c r="W53" s="112"/>
      <c r="X53" s="78"/>
    </row>
    <row r="54" spans="1:24" s="56" customFormat="1" ht="21">
      <c r="A54" s="20">
        <f t="shared" si="5"/>
        <v>47</v>
      </c>
      <c r="B54" s="21" t="s">
        <v>29</v>
      </c>
      <c r="C54" s="356" t="s">
        <v>388</v>
      </c>
      <c r="D54" s="23" t="s">
        <v>387</v>
      </c>
      <c r="E54" s="24" t="s">
        <v>390</v>
      </c>
      <c r="F54" s="216" t="s">
        <v>188</v>
      </c>
      <c r="G54" s="26">
        <v>3101202279779</v>
      </c>
      <c r="H54" s="225">
        <v>224965</v>
      </c>
      <c r="I54" s="28">
        <f t="shared" si="0"/>
        <v>43</v>
      </c>
      <c r="J54" s="227">
        <f t="shared" si="1"/>
        <v>9</v>
      </c>
      <c r="K54" s="227">
        <f t="shared" si="2"/>
        <v>24</v>
      </c>
      <c r="L54" s="227" t="str">
        <f t="shared" si="3"/>
        <v>43 ปี  9 เดือน  24 วัน</v>
      </c>
      <c r="M54" s="218">
        <f t="shared" si="6"/>
        <v>800</v>
      </c>
      <c r="N54" s="205"/>
      <c r="O54" s="170" t="s">
        <v>356</v>
      </c>
      <c r="P54" s="78"/>
      <c r="Q54" s="341" t="s">
        <v>187</v>
      </c>
      <c r="R54" s="92"/>
      <c r="S54" s="92"/>
      <c r="T54" s="112"/>
      <c r="U54" s="153">
        <v>36</v>
      </c>
      <c r="V54" s="94">
        <f>COUNTIF(I6:I112,"36")</f>
        <v>0</v>
      </c>
      <c r="W54" s="112"/>
      <c r="X54" s="78"/>
    </row>
    <row r="55" spans="1:24" s="56" customFormat="1" ht="21">
      <c r="A55" s="20">
        <f t="shared" si="5"/>
        <v>48</v>
      </c>
      <c r="B55" s="21" t="s">
        <v>30</v>
      </c>
      <c r="C55" s="356" t="s">
        <v>389</v>
      </c>
      <c r="D55" s="23" t="s">
        <v>387</v>
      </c>
      <c r="E55" s="24" t="s">
        <v>390</v>
      </c>
      <c r="F55" s="216" t="s">
        <v>188</v>
      </c>
      <c r="G55" s="26">
        <v>3101202279744</v>
      </c>
      <c r="H55" s="225">
        <v>216226</v>
      </c>
      <c r="I55" s="28">
        <f t="shared" si="0"/>
        <v>67</v>
      </c>
      <c r="J55" s="227">
        <f t="shared" si="1"/>
        <v>8</v>
      </c>
      <c r="K55" s="227">
        <f t="shared" si="2"/>
        <v>29</v>
      </c>
      <c r="L55" s="227" t="str">
        <f t="shared" si="3"/>
        <v>67 ปี  8 เดือน  29 วัน</v>
      </c>
      <c r="M55" s="218">
        <f t="shared" si="6"/>
        <v>800</v>
      </c>
      <c r="N55" s="205"/>
      <c r="O55" s="170" t="s">
        <v>356</v>
      </c>
      <c r="P55" s="78"/>
      <c r="Q55" s="341"/>
      <c r="R55" s="92"/>
      <c r="S55" s="92"/>
      <c r="T55" s="112"/>
      <c r="U55" s="153">
        <v>37</v>
      </c>
      <c r="V55" s="94">
        <f>COUNTIF(I6:I112,"37")</f>
        <v>0</v>
      </c>
      <c r="W55" s="112"/>
      <c r="X55" s="78"/>
    </row>
    <row r="56" spans="1:24" s="56" customFormat="1" ht="21">
      <c r="A56" s="20">
        <f t="shared" si="5"/>
        <v>49</v>
      </c>
      <c r="B56" s="21" t="s">
        <v>29</v>
      </c>
      <c r="C56" s="22" t="s">
        <v>74</v>
      </c>
      <c r="D56" s="23" t="s">
        <v>391</v>
      </c>
      <c r="E56" s="24" t="s">
        <v>200</v>
      </c>
      <c r="F56" s="216" t="s">
        <v>188</v>
      </c>
      <c r="G56" s="26" t="s">
        <v>201</v>
      </c>
      <c r="H56" s="225">
        <v>218665</v>
      </c>
      <c r="I56" s="28">
        <f t="shared" si="0"/>
        <v>61</v>
      </c>
      <c r="J56" s="227">
        <f t="shared" si="1"/>
        <v>0</v>
      </c>
      <c r="K56" s="227">
        <f t="shared" si="2"/>
        <v>25</v>
      </c>
      <c r="L56" s="227" t="str">
        <f t="shared" si="3"/>
        <v>61 ปี  0 เดือน  25 วัน</v>
      </c>
      <c r="M56" s="218">
        <f t="shared" si="6"/>
        <v>800</v>
      </c>
      <c r="N56" s="205"/>
      <c r="O56" s="170" t="s">
        <v>392</v>
      </c>
      <c r="P56" s="78"/>
      <c r="Q56" s="341"/>
      <c r="R56" s="92"/>
      <c r="S56" s="92"/>
      <c r="T56" s="112"/>
      <c r="U56" s="153">
        <v>38</v>
      </c>
      <c r="V56" s="94">
        <f>COUNTIF(I6:I112,"38")</f>
        <v>2</v>
      </c>
      <c r="W56" s="112"/>
      <c r="X56" s="78"/>
    </row>
    <row r="57" spans="1:24" s="56" customFormat="1" ht="21">
      <c r="A57" s="20">
        <f t="shared" si="5"/>
        <v>50</v>
      </c>
      <c r="B57" s="343" t="s">
        <v>31</v>
      </c>
      <c r="C57" s="344" t="s">
        <v>76</v>
      </c>
      <c r="D57" s="345" t="s">
        <v>393</v>
      </c>
      <c r="E57" s="247" t="s">
        <v>394</v>
      </c>
      <c r="F57" s="216" t="s">
        <v>188</v>
      </c>
      <c r="G57" s="26" t="s">
        <v>395</v>
      </c>
      <c r="H57" s="225">
        <v>224603</v>
      </c>
      <c r="I57" s="28">
        <f t="shared" si="0"/>
        <v>44</v>
      </c>
      <c r="J57" s="227">
        <f t="shared" si="1"/>
        <v>9</v>
      </c>
      <c r="K57" s="227">
        <f t="shared" si="2"/>
        <v>21</v>
      </c>
      <c r="L57" s="227" t="str">
        <f t="shared" si="3"/>
        <v>44 ปี  9 เดือน  21 วัน</v>
      </c>
      <c r="M57" s="218">
        <f t="shared" si="6"/>
        <v>800</v>
      </c>
      <c r="N57" s="205"/>
      <c r="O57" s="342" t="s">
        <v>421</v>
      </c>
      <c r="P57" s="78"/>
      <c r="Q57" s="359"/>
      <c r="R57" s="92"/>
      <c r="S57" s="92"/>
      <c r="T57" s="112"/>
      <c r="U57" s="153">
        <v>39</v>
      </c>
      <c r="V57" s="94">
        <f>COUNTIF(I6:I112,"39")</f>
        <v>3</v>
      </c>
      <c r="W57" s="112"/>
      <c r="X57" s="78"/>
    </row>
    <row r="58" spans="1:24" s="56" customFormat="1" ht="21">
      <c r="A58" s="20">
        <f t="shared" si="5"/>
        <v>51</v>
      </c>
      <c r="B58" s="343" t="s">
        <v>31</v>
      </c>
      <c r="C58" s="344" t="s">
        <v>396</v>
      </c>
      <c r="D58" s="345" t="s">
        <v>397</v>
      </c>
      <c r="E58" s="247" t="s">
        <v>109</v>
      </c>
      <c r="F58" s="216" t="s">
        <v>188</v>
      </c>
      <c r="G58" s="26" t="s">
        <v>398</v>
      </c>
      <c r="H58" s="225">
        <v>225064</v>
      </c>
      <c r="I58" s="28">
        <f t="shared" si="0"/>
        <v>43</v>
      </c>
      <c r="J58" s="227">
        <f t="shared" si="1"/>
        <v>6</v>
      </c>
      <c r="K58" s="227">
        <f t="shared" si="2"/>
        <v>16</v>
      </c>
      <c r="L58" s="227" t="str">
        <f t="shared" si="3"/>
        <v>43 ปี  6 เดือน  16 วัน</v>
      </c>
      <c r="M58" s="218">
        <f t="shared" si="6"/>
        <v>800</v>
      </c>
      <c r="N58" s="205"/>
      <c r="O58" s="342" t="s">
        <v>421</v>
      </c>
      <c r="P58" s="78"/>
      <c r="Q58" s="359"/>
      <c r="R58" s="92"/>
      <c r="S58" s="92"/>
      <c r="T58" s="112"/>
      <c r="U58" s="153">
        <v>40</v>
      </c>
      <c r="V58" s="94">
        <f>COUNTIF(I6:I112,"40")</f>
        <v>2</v>
      </c>
      <c r="W58" s="112"/>
      <c r="X58" s="78"/>
    </row>
    <row r="59" spans="1:24" s="56" customFormat="1" ht="21">
      <c r="A59" s="20">
        <f t="shared" si="5"/>
        <v>52</v>
      </c>
      <c r="B59" s="343" t="s">
        <v>245</v>
      </c>
      <c r="C59" s="344" t="s">
        <v>408</v>
      </c>
      <c r="D59" s="345" t="s">
        <v>409</v>
      </c>
      <c r="E59" s="247" t="s">
        <v>410</v>
      </c>
      <c r="F59" s="216" t="s">
        <v>188</v>
      </c>
      <c r="G59" s="26">
        <v>1102004386158</v>
      </c>
      <c r="H59" s="225">
        <v>239460</v>
      </c>
      <c r="I59" s="28">
        <f t="shared" si="0"/>
        <v>4</v>
      </c>
      <c r="J59" s="227">
        <f t="shared" si="1"/>
        <v>1</v>
      </c>
      <c r="K59" s="227">
        <f t="shared" si="2"/>
        <v>17</v>
      </c>
      <c r="L59" s="227" t="str">
        <f t="shared" si="3"/>
        <v>4 ปี  1 เดือน  17 วัน</v>
      </c>
      <c r="M59" s="218">
        <f t="shared" si="6"/>
        <v>800</v>
      </c>
      <c r="N59" s="205"/>
      <c r="O59" s="342" t="s">
        <v>402</v>
      </c>
      <c r="P59" s="78"/>
      <c r="Q59" s="353"/>
      <c r="R59" s="92"/>
      <c r="S59" s="92"/>
      <c r="T59" s="112"/>
      <c r="U59" s="153">
        <v>41</v>
      </c>
      <c r="V59" s="94">
        <f>COUNTIF(I6:I112,"41")</f>
        <v>1</v>
      </c>
      <c r="W59" s="112"/>
      <c r="X59" s="78"/>
    </row>
    <row r="60" spans="1:24" s="56" customFormat="1" ht="21">
      <c r="A60" s="20">
        <f t="shared" si="5"/>
        <v>53</v>
      </c>
      <c r="B60" s="343" t="s">
        <v>29</v>
      </c>
      <c r="C60" s="344" t="s">
        <v>401</v>
      </c>
      <c r="D60" s="345" t="s">
        <v>179</v>
      </c>
      <c r="E60" s="247" t="s">
        <v>235</v>
      </c>
      <c r="F60" s="216" t="s">
        <v>188</v>
      </c>
      <c r="G60" s="26">
        <v>1103700196455</v>
      </c>
      <c r="H60" s="225">
        <v>231393</v>
      </c>
      <c r="I60" s="28">
        <f t="shared" si="0"/>
        <v>26</v>
      </c>
      <c r="J60" s="227">
        <f t="shared" si="1"/>
        <v>2</v>
      </c>
      <c r="K60" s="227">
        <f t="shared" si="2"/>
        <v>18</v>
      </c>
      <c r="L60" s="227" t="str">
        <f t="shared" si="3"/>
        <v>26 ปี  2 เดือน  18 วัน</v>
      </c>
      <c r="M60" s="218">
        <f t="shared" si="6"/>
        <v>800</v>
      </c>
      <c r="N60" s="205"/>
      <c r="O60" s="342" t="s">
        <v>402</v>
      </c>
      <c r="P60" s="78"/>
      <c r="Q60" s="353"/>
      <c r="R60" s="92"/>
      <c r="S60" s="92"/>
      <c r="T60" s="112"/>
      <c r="U60" s="153">
        <v>42</v>
      </c>
      <c r="V60" s="94">
        <f>COUNTIF(I6:I112,"42")</f>
        <v>2</v>
      </c>
      <c r="W60" s="112"/>
      <c r="X60" s="78"/>
    </row>
    <row r="61" spans="1:24" s="56" customFormat="1" ht="21">
      <c r="A61" s="20">
        <f t="shared" si="5"/>
        <v>54</v>
      </c>
      <c r="B61" s="343" t="s">
        <v>29</v>
      </c>
      <c r="C61" s="344" t="s">
        <v>403</v>
      </c>
      <c r="D61" s="345" t="s">
        <v>404</v>
      </c>
      <c r="E61" s="247" t="s">
        <v>405</v>
      </c>
      <c r="F61" s="216" t="s">
        <v>188</v>
      </c>
      <c r="G61" s="26">
        <v>3100100680881</v>
      </c>
      <c r="H61" s="225">
        <v>225211</v>
      </c>
      <c r="I61" s="28">
        <f t="shared" si="0"/>
        <v>43</v>
      </c>
      <c r="J61" s="227">
        <f t="shared" si="1"/>
        <v>1</v>
      </c>
      <c r="K61" s="227">
        <f t="shared" si="2"/>
        <v>22</v>
      </c>
      <c r="L61" s="227" t="str">
        <f t="shared" si="3"/>
        <v>43 ปี  1 เดือน  22 วัน</v>
      </c>
      <c r="M61" s="218">
        <f t="shared" si="6"/>
        <v>800</v>
      </c>
      <c r="N61" s="205"/>
      <c r="O61" s="342" t="s">
        <v>402</v>
      </c>
      <c r="P61" s="78"/>
      <c r="Q61" s="353"/>
      <c r="R61" s="92"/>
      <c r="S61" s="92"/>
      <c r="T61" s="112"/>
      <c r="U61" s="153">
        <v>43</v>
      </c>
      <c r="V61" s="94">
        <f>COUNTIF(I6:I112,"43")</f>
        <v>4</v>
      </c>
      <c r="W61" s="112"/>
      <c r="X61" s="78"/>
    </row>
    <row r="62" spans="1:24" s="56" customFormat="1" ht="21">
      <c r="A62" s="20">
        <f t="shared" si="5"/>
        <v>55</v>
      </c>
      <c r="B62" s="343" t="s">
        <v>29</v>
      </c>
      <c r="C62" s="344" t="s">
        <v>406</v>
      </c>
      <c r="D62" s="345" t="s">
        <v>407</v>
      </c>
      <c r="E62" s="247" t="s">
        <v>202</v>
      </c>
      <c r="F62" s="216" t="s">
        <v>188</v>
      </c>
      <c r="G62" s="26">
        <v>1339900035190</v>
      </c>
      <c r="H62" s="225">
        <v>229734</v>
      </c>
      <c r="I62" s="28">
        <f t="shared" si="0"/>
        <v>30</v>
      </c>
      <c r="J62" s="227">
        <f t="shared" si="1"/>
        <v>9</v>
      </c>
      <c r="K62" s="227">
        <f t="shared" si="2"/>
        <v>4</v>
      </c>
      <c r="L62" s="227" t="str">
        <f t="shared" si="3"/>
        <v>30 ปี  9 เดือน  4 วัน</v>
      </c>
      <c r="M62" s="218">
        <f t="shared" si="6"/>
        <v>800</v>
      </c>
      <c r="N62" s="205"/>
      <c r="O62" s="342" t="s">
        <v>402</v>
      </c>
      <c r="P62" s="78"/>
      <c r="Q62" s="353"/>
      <c r="R62" s="92"/>
      <c r="S62" s="92"/>
      <c r="T62" s="112"/>
      <c r="U62" s="153">
        <v>44</v>
      </c>
      <c r="V62" s="94">
        <f>COUNTIF(I6:I112,"44")</f>
        <v>3</v>
      </c>
      <c r="W62" s="112"/>
      <c r="X62" s="78"/>
    </row>
    <row r="63" spans="1:24" s="56" customFormat="1" ht="21">
      <c r="A63" s="20">
        <f t="shared" si="5"/>
        <v>56</v>
      </c>
      <c r="B63" s="343" t="s">
        <v>214</v>
      </c>
      <c r="C63" s="344" t="s">
        <v>411</v>
      </c>
      <c r="D63" s="345" t="s">
        <v>95</v>
      </c>
      <c r="E63" s="247" t="s">
        <v>46</v>
      </c>
      <c r="F63" s="216" t="s">
        <v>188</v>
      </c>
      <c r="G63" s="26">
        <v>1102003790427</v>
      </c>
      <c r="H63" s="225">
        <v>237239</v>
      </c>
      <c r="I63" s="28">
        <f t="shared" si="0"/>
        <v>10</v>
      </c>
      <c r="J63" s="227">
        <f t="shared" si="1"/>
        <v>2</v>
      </c>
      <c r="K63" s="227">
        <f t="shared" si="2"/>
        <v>16</v>
      </c>
      <c r="L63" s="227" t="str">
        <f t="shared" si="3"/>
        <v>10 ปี  2 เดือน  16 วัน</v>
      </c>
      <c r="M63" s="218">
        <f t="shared" si="6"/>
        <v>800</v>
      </c>
      <c r="N63" s="205"/>
      <c r="O63" s="342" t="s">
        <v>402</v>
      </c>
      <c r="P63" s="78"/>
      <c r="Q63" s="354"/>
      <c r="R63" s="92"/>
      <c r="S63" s="92"/>
      <c r="T63" s="112"/>
      <c r="U63" s="153">
        <v>45</v>
      </c>
      <c r="V63" s="94">
        <f>COUNTIF(I6:I112,"45")</f>
        <v>2</v>
      </c>
      <c r="W63" s="112"/>
      <c r="X63" s="78"/>
    </row>
    <row r="64" spans="1:24" s="56" customFormat="1" ht="21">
      <c r="A64" s="20">
        <f t="shared" si="5"/>
        <v>57</v>
      </c>
      <c r="B64" s="343" t="s">
        <v>29</v>
      </c>
      <c r="C64" s="344" t="s">
        <v>422</v>
      </c>
      <c r="D64" s="345" t="s">
        <v>105</v>
      </c>
      <c r="E64" s="247" t="s">
        <v>87</v>
      </c>
      <c r="F64" s="216" t="s">
        <v>188</v>
      </c>
      <c r="G64" s="26">
        <v>3730600576262</v>
      </c>
      <c r="H64" s="225">
        <v>218804</v>
      </c>
      <c r="I64" s="28">
        <f t="shared" si="0"/>
        <v>60</v>
      </c>
      <c r="J64" s="227">
        <f t="shared" si="1"/>
        <v>8</v>
      </c>
      <c r="K64" s="227">
        <f t="shared" si="2"/>
        <v>8</v>
      </c>
      <c r="L64" s="227" t="str">
        <f t="shared" si="3"/>
        <v>60 ปี  8 เดือน  8 วัน</v>
      </c>
      <c r="M64" s="218">
        <f t="shared" si="6"/>
        <v>800</v>
      </c>
      <c r="N64" s="205"/>
      <c r="O64" s="342" t="s">
        <v>423</v>
      </c>
      <c r="P64" s="78"/>
      <c r="Q64" s="359"/>
      <c r="R64" s="92"/>
      <c r="S64" s="92"/>
      <c r="T64" s="112"/>
      <c r="U64" s="153">
        <v>46</v>
      </c>
      <c r="V64" s="94">
        <f>COUNTIF(I6:I112,"46")</f>
        <v>2</v>
      </c>
      <c r="W64" s="112"/>
      <c r="X64" s="78"/>
    </row>
    <row r="65" spans="1:24" s="56" customFormat="1" ht="21">
      <c r="A65" s="20">
        <f t="shared" si="5"/>
        <v>58</v>
      </c>
      <c r="B65" s="343" t="s">
        <v>29</v>
      </c>
      <c r="C65" s="344" t="s">
        <v>428</v>
      </c>
      <c r="D65" s="345" t="s">
        <v>425</v>
      </c>
      <c r="E65" s="247" t="s">
        <v>426</v>
      </c>
      <c r="F65" s="216" t="s">
        <v>188</v>
      </c>
      <c r="G65" s="26">
        <v>1102000666369</v>
      </c>
      <c r="H65" s="225">
        <v>229992</v>
      </c>
      <c r="I65" s="28">
        <f t="shared" si="0"/>
        <v>30</v>
      </c>
      <c r="J65" s="227">
        <f t="shared" si="1"/>
        <v>0</v>
      </c>
      <c r="K65" s="227">
        <f t="shared" si="2"/>
        <v>20</v>
      </c>
      <c r="L65" s="227" t="str">
        <f t="shared" si="3"/>
        <v>30 ปี  0 เดือน  20 วัน</v>
      </c>
      <c r="M65" s="218">
        <f t="shared" si="6"/>
        <v>800</v>
      </c>
      <c r="N65" s="205"/>
      <c r="O65" s="342" t="s">
        <v>427</v>
      </c>
      <c r="P65" s="78"/>
      <c r="Q65" s="370"/>
      <c r="R65" s="92"/>
      <c r="S65" s="92"/>
      <c r="T65" s="112"/>
      <c r="U65" s="153">
        <v>47</v>
      </c>
      <c r="V65" s="94">
        <f>COUNTIF(I6:I112,"47")</f>
        <v>2</v>
      </c>
      <c r="W65" s="112"/>
      <c r="X65" s="78"/>
    </row>
    <row r="66" spans="1:24" s="56" customFormat="1" ht="21">
      <c r="A66" s="20">
        <f t="shared" si="5"/>
        <v>59</v>
      </c>
      <c r="B66" s="21" t="s">
        <v>31</v>
      </c>
      <c r="C66" s="22" t="s">
        <v>63</v>
      </c>
      <c r="D66" s="23" t="s">
        <v>134</v>
      </c>
      <c r="E66" s="247" t="s">
        <v>50</v>
      </c>
      <c r="F66" s="216" t="s">
        <v>120</v>
      </c>
      <c r="G66" s="26" t="s">
        <v>295</v>
      </c>
      <c r="H66" s="225">
        <v>220892</v>
      </c>
      <c r="I66" s="28">
        <f t="shared" si="0"/>
        <v>54</v>
      </c>
      <c r="J66" s="227">
        <f t="shared" si="1"/>
        <v>11</v>
      </c>
      <c r="K66" s="227">
        <f t="shared" si="2"/>
        <v>19</v>
      </c>
      <c r="L66" s="227" t="str">
        <f t="shared" si="3"/>
        <v>54 ปี  11 เดือน  19 วัน</v>
      </c>
      <c r="M66" s="218">
        <f t="shared" si="6"/>
        <v>800</v>
      </c>
      <c r="N66" s="205"/>
      <c r="O66" s="170"/>
      <c r="P66" s="78"/>
      <c r="Q66" s="112"/>
      <c r="R66" s="112"/>
      <c r="S66" s="112"/>
      <c r="T66" s="112"/>
      <c r="U66" s="153">
        <v>48</v>
      </c>
      <c r="V66" s="94">
        <f>COUNTIF(I6:I112,"48")</f>
        <v>4</v>
      </c>
      <c r="W66" s="112"/>
      <c r="X66" s="78"/>
    </row>
    <row r="67" spans="1:24" s="56" customFormat="1" ht="21">
      <c r="A67" s="20">
        <f t="shared" si="5"/>
        <v>60</v>
      </c>
      <c r="B67" s="21" t="s">
        <v>29</v>
      </c>
      <c r="C67" s="22" t="s">
        <v>72</v>
      </c>
      <c r="D67" s="23" t="s">
        <v>162</v>
      </c>
      <c r="E67" s="247" t="s">
        <v>163</v>
      </c>
      <c r="F67" s="216" t="s">
        <v>120</v>
      </c>
      <c r="G67" s="26" t="s">
        <v>296</v>
      </c>
      <c r="H67" s="225">
        <v>223611</v>
      </c>
      <c r="I67" s="28">
        <f t="shared" si="0"/>
        <v>47</v>
      </c>
      <c r="J67" s="227">
        <f t="shared" si="1"/>
        <v>6</v>
      </c>
      <c r="K67" s="227">
        <f t="shared" si="2"/>
        <v>8</v>
      </c>
      <c r="L67" s="227" t="str">
        <f t="shared" si="3"/>
        <v>47 ปี  6 เดือน  8 วัน</v>
      </c>
      <c r="M67" s="218">
        <f t="shared" si="6"/>
        <v>800</v>
      </c>
      <c r="N67" s="205"/>
      <c r="O67" s="170"/>
      <c r="P67" s="78"/>
      <c r="Q67" s="112"/>
      <c r="R67" s="92"/>
      <c r="S67" s="92"/>
      <c r="T67" s="375"/>
      <c r="U67" s="376">
        <v>49</v>
      </c>
      <c r="V67" s="94">
        <f>COUNTIF(I6:I112,"49")</f>
        <v>3</v>
      </c>
      <c r="W67" s="112"/>
      <c r="X67" s="78"/>
    </row>
    <row r="68" spans="1:24" s="56" customFormat="1" ht="21">
      <c r="A68" s="20">
        <f t="shared" si="5"/>
        <v>61</v>
      </c>
      <c r="B68" s="229" t="s">
        <v>29</v>
      </c>
      <c r="C68" s="230" t="s">
        <v>106</v>
      </c>
      <c r="D68" s="231" t="s">
        <v>167</v>
      </c>
      <c r="E68" s="263">
        <v>15</v>
      </c>
      <c r="F68" s="231" t="s">
        <v>120</v>
      </c>
      <c r="G68" s="236" t="s">
        <v>297</v>
      </c>
      <c r="H68" s="225">
        <v>229175</v>
      </c>
      <c r="I68" s="28">
        <f t="shared" si="0"/>
        <v>32</v>
      </c>
      <c r="J68" s="227">
        <f t="shared" si="1"/>
        <v>3</v>
      </c>
      <c r="K68" s="227">
        <f t="shared" si="2"/>
        <v>14</v>
      </c>
      <c r="L68" s="227" t="str">
        <f t="shared" si="3"/>
        <v>32 ปี  3 เดือน  14 วัน</v>
      </c>
      <c r="M68" s="218">
        <f t="shared" si="6"/>
        <v>800</v>
      </c>
      <c r="N68" s="117"/>
      <c r="O68" s="257"/>
      <c r="P68" s="78"/>
      <c r="Q68" s="112"/>
      <c r="R68" s="154"/>
      <c r="S68" s="92"/>
      <c r="T68" s="375"/>
      <c r="U68" s="377">
        <v>50</v>
      </c>
      <c r="V68" s="94">
        <f>COUNTIF(I6:I112,"50")</f>
        <v>0</v>
      </c>
      <c r="W68" s="112"/>
      <c r="X68" s="78"/>
    </row>
    <row r="69" spans="1:24" s="56" customFormat="1" ht="21">
      <c r="A69" s="20">
        <f t="shared" si="5"/>
        <v>62</v>
      </c>
      <c r="B69" s="21" t="s">
        <v>30</v>
      </c>
      <c r="C69" s="22" t="s">
        <v>298</v>
      </c>
      <c r="D69" s="23" t="s">
        <v>142</v>
      </c>
      <c r="E69" s="22" t="s">
        <v>170</v>
      </c>
      <c r="F69" s="23" t="s">
        <v>120</v>
      </c>
      <c r="G69" s="28" t="s">
        <v>299</v>
      </c>
      <c r="H69" s="225">
        <v>222843</v>
      </c>
      <c r="I69" s="28">
        <f t="shared" si="0"/>
        <v>49</v>
      </c>
      <c r="J69" s="227">
        <f t="shared" si="1"/>
        <v>7</v>
      </c>
      <c r="K69" s="227">
        <f t="shared" si="2"/>
        <v>17</v>
      </c>
      <c r="L69" s="227" t="str">
        <f t="shared" si="3"/>
        <v>49 ปี  7 เดือน  17 วัน</v>
      </c>
      <c r="M69" s="218">
        <f t="shared" si="6"/>
        <v>800</v>
      </c>
      <c r="N69" s="159"/>
      <c r="O69" s="89"/>
      <c r="P69" s="78"/>
      <c r="Q69" s="112"/>
      <c r="R69" s="154"/>
      <c r="S69" s="92"/>
      <c r="T69" s="104"/>
      <c r="U69" s="376">
        <v>51</v>
      </c>
      <c r="V69" s="94">
        <f>COUNTIF(I6:I112,"51")</f>
        <v>2</v>
      </c>
      <c r="W69" s="112"/>
      <c r="X69" s="78"/>
    </row>
    <row r="70" spans="1:24" s="56" customFormat="1" ht="21">
      <c r="A70" s="20">
        <f t="shared" si="5"/>
        <v>63</v>
      </c>
      <c r="B70" s="213" t="s">
        <v>31</v>
      </c>
      <c r="C70" s="214" t="s">
        <v>70</v>
      </c>
      <c r="D70" s="215" t="s">
        <v>164</v>
      </c>
      <c r="E70" s="246" t="s">
        <v>40</v>
      </c>
      <c r="F70" s="228" t="s">
        <v>120</v>
      </c>
      <c r="G70" s="245" t="s">
        <v>300</v>
      </c>
      <c r="H70" s="225">
        <v>214164</v>
      </c>
      <c r="I70" s="28">
        <f t="shared" si="0"/>
        <v>73</v>
      </c>
      <c r="J70" s="227">
        <f t="shared" si="1"/>
        <v>4</v>
      </c>
      <c r="K70" s="227">
        <f t="shared" si="2"/>
        <v>20</v>
      </c>
      <c r="L70" s="227" t="str">
        <f t="shared" si="3"/>
        <v>73 ปี  4 เดือน  20 วัน</v>
      </c>
      <c r="M70" s="218">
        <f t="shared" si="6"/>
        <v>800</v>
      </c>
      <c r="N70" s="211"/>
      <c r="O70" s="258"/>
      <c r="P70" s="78"/>
      <c r="Q70" s="112"/>
      <c r="R70" s="154"/>
      <c r="S70" s="92"/>
      <c r="T70" s="104"/>
      <c r="U70" s="377">
        <v>52</v>
      </c>
      <c r="V70" s="94">
        <f>COUNTIF(I6:I112,"52")</f>
        <v>1</v>
      </c>
      <c r="W70" s="112"/>
      <c r="X70" s="78"/>
    </row>
    <row r="71" spans="1:24" s="56" customFormat="1" ht="21">
      <c r="A71" s="20">
        <f aca="true" t="shared" si="8" ref="A71:A112">A70+1</f>
        <v>64</v>
      </c>
      <c r="B71" s="213" t="s">
        <v>31</v>
      </c>
      <c r="C71" s="214" t="s">
        <v>78</v>
      </c>
      <c r="D71" s="215" t="s">
        <v>122</v>
      </c>
      <c r="E71" s="246" t="s">
        <v>83</v>
      </c>
      <c r="F71" s="228" t="s">
        <v>120</v>
      </c>
      <c r="G71" s="208" t="s">
        <v>301</v>
      </c>
      <c r="H71" s="225">
        <v>216957</v>
      </c>
      <c r="I71" s="28">
        <f t="shared" si="0"/>
        <v>65</v>
      </c>
      <c r="J71" s="227">
        <f t="shared" si="1"/>
        <v>8</v>
      </c>
      <c r="K71" s="227">
        <f t="shared" si="2"/>
        <v>29</v>
      </c>
      <c r="L71" s="227" t="str">
        <f t="shared" si="3"/>
        <v>65 ปี  8 เดือน  29 วัน</v>
      </c>
      <c r="M71" s="218">
        <f t="shared" si="6"/>
        <v>800</v>
      </c>
      <c r="N71" s="212"/>
      <c r="O71" s="258"/>
      <c r="P71" s="78"/>
      <c r="Q71" s="112"/>
      <c r="R71" s="154"/>
      <c r="S71" s="92"/>
      <c r="T71" s="104"/>
      <c r="U71" s="376">
        <v>53</v>
      </c>
      <c r="V71" s="94">
        <f>COUNTIF(I6:I112,"53")</f>
        <v>0</v>
      </c>
      <c r="W71" s="112"/>
      <c r="X71" s="78"/>
    </row>
    <row r="72" spans="1:24" s="56" customFormat="1" ht="21">
      <c r="A72" s="20">
        <f t="shared" si="8"/>
        <v>65</v>
      </c>
      <c r="B72" s="21" t="s">
        <v>29</v>
      </c>
      <c r="C72" s="22" t="s">
        <v>71</v>
      </c>
      <c r="D72" s="23" t="s">
        <v>117</v>
      </c>
      <c r="E72" s="247" t="s">
        <v>58</v>
      </c>
      <c r="F72" s="216" t="s">
        <v>120</v>
      </c>
      <c r="G72" s="26" t="s">
        <v>302</v>
      </c>
      <c r="H72" s="225">
        <v>220023</v>
      </c>
      <c r="I72" s="28">
        <f t="shared" si="0"/>
        <v>57</v>
      </c>
      <c r="J72" s="227">
        <f t="shared" si="1"/>
        <v>4</v>
      </c>
      <c r="K72" s="227">
        <f t="shared" si="2"/>
        <v>4</v>
      </c>
      <c r="L72" s="227" t="str">
        <f t="shared" si="3"/>
        <v>57 ปี  4 เดือน  4 วัน</v>
      </c>
      <c r="M72" s="218">
        <f t="shared" si="6"/>
        <v>800</v>
      </c>
      <c r="N72" s="205"/>
      <c r="O72" s="170"/>
      <c r="P72" s="78"/>
      <c r="Q72" s="112"/>
      <c r="R72" s="154"/>
      <c r="S72" s="92"/>
      <c r="T72" s="112"/>
      <c r="U72" s="377">
        <v>54</v>
      </c>
      <c r="V72" s="94">
        <f>COUNTIF(I6:I112,"54")</f>
        <v>3</v>
      </c>
      <c r="W72" s="112"/>
      <c r="X72" s="78"/>
    </row>
    <row r="73" spans="1:24" s="56" customFormat="1" ht="21">
      <c r="A73" s="20">
        <f t="shared" si="8"/>
        <v>66</v>
      </c>
      <c r="B73" s="21" t="s">
        <v>31</v>
      </c>
      <c r="C73" s="22" t="s">
        <v>73</v>
      </c>
      <c r="D73" s="23" t="s">
        <v>123</v>
      </c>
      <c r="E73" s="247" t="s">
        <v>75</v>
      </c>
      <c r="F73" s="216" t="s">
        <v>120</v>
      </c>
      <c r="G73" s="26" t="s">
        <v>303</v>
      </c>
      <c r="H73" s="225">
        <v>225535</v>
      </c>
      <c r="I73" s="28">
        <f t="shared" si="0"/>
        <v>42</v>
      </c>
      <c r="J73" s="227">
        <f t="shared" si="1"/>
        <v>3</v>
      </c>
      <c r="K73" s="227">
        <f t="shared" si="2"/>
        <v>2</v>
      </c>
      <c r="L73" s="227" t="str">
        <f t="shared" si="3"/>
        <v>42 ปี  3 เดือน  2 วัน</v>
      </c>
      <c r="M73" s="218">
        <f t="shared" si="6"/>
        <v>800</v>
      </c>
      <c r="N73" s="205"/>
      <c r="O73" s="170"/>
      <c r="P73" s="78"/>
      <c r="Q73" s="112"/>
      <c r="R73" s="154"/>
      <c r="S73" s="92"/>
      <c r="T73" s="112"/>
      <c r="U73" s="376">
        <v>55</v>
      </c>
      <c r="V73" s="94">
        <f>COUNTIF(I6:I112,"55")</f>
        <v>0</v>
      </c>
      <c r="W73" s="112"/>
      <c r="X73" s="78"/>
    </row>
    <row r="74" spans="1:24" s="56" customFormat="1" ht="21">
      <c r="A74" s="20">
        <f t="shared" si="8"/>
        <v>67</v>
      </c>
      <c r="B74" s="21" t="s">
        <v>30</v>
      </c>
      <c r="C74" s="22" t="s">
        <v>64</v>
      </c>
      <c r="D74" s="23" t="s">
        <v>166</v>
      </c>
      <c r="E74" s="247" t="s">
        <v>75</v>
      </c>
      <c r="F74" s="216" t="s">
        <v>120</v>
      </c>
      <c r="G74" s="26" t="s">
        <v>304</v>
      </c>
      <c r="H74" s="225">
        <v>214132</v>
      </c>
      <c r="I74" s="28">
        <f t="shared" si="0"/>
        <v>73</v>
      </c>
      <c r="J74" s="227">
        <f t="shared" si="1"/>
        <v>5</v>
      </c>
      <c r="K74" s="227">
        <f t="shared" si="2"/>
        <v>22</v>
      </c>
      <c r="L74" s="227" t="str">
        <f t="shared" si="3"/>
        <v>73 ปี  5 เดือน  22 วัน</v>
      </c>
      <c r="M74" s="218">
        <f t="shared" si="6"/>
        <v>800</v>
      </c>
      <c r="N74" s="205"/>
      <c r="O74" s="170"/>
      <c r="P74" s="78"/>
      <c r="Q74" s="112"/>
      <c r="R74" s="154"/>
      <c r="S74" s="92"/>
      <c r="T74" s="112"/>
      <c r="U74" s="377">
        <v>56</v>
      </c>
      <c r="V74" s="94">
        <f>COUNTIF(I6:I112,"56")</f>
        <v>4</v>
      </c>
      <c r="W74" s="112"/>
      <c r="X74" s="78"/>
    </row>
    <row r="75" spans="1:24" s="56" customFormat="1" ht="21">
      <c r="A75" s="20">
        <f t="shared" si="8"/>
        <v>68</v>
      </c>
      <c r="B75" s="21" t="s">
        <v>29</v>
      </c>
      <c r="C75" s="22" t="s">
        <v>37</v>
      </c>
      <c r="D75" s="23" t="s">
        <v>113</v>
      </c>
      <c r="E75" s="82">
        <v>17</v>
      </c>
      <c r="F75" s="83" t="s">
        <v>120</v>
      </c>
      <c r="G75" s="28" t="s">
        <v>315</v>
      </c>
      <c r="H75" s="225">
        <v>215529</v>
      </c>
      <c r="I75" s="28">
        <f t="shared" si="0"/>
        <v>69</v>
      </c>
      <c r="J75" s="89">
        <f t="shared" si="1"/>
        <v>7</v>
      </c>
      <c r="K75" s="89">
        <f t="shared" si="2"/>
        <v>27</v>
      </c>
      <c r="L75" s="89" t="str">
        <f t="shared" si="3"/>
        <v>69 ปี  7 เดือน  27 วัน</v>
      </c>
      <c r="M75" s="159">
        <f t="shared" si="6"/>
        <v>800</v>
      </c>
      <c r="N75" s="159"/>
      <c r="O75" s="159"/>
      <c r="P75" s="78"/>
      <c r="Q75" s="112"/>
      <c r="R75" s="154"/>
      <c r="S75" s="92"/>
      <c r="T75" s="112"/>
      <c r="U75" s="376">
        <v>57</v>
      </c>
      <c r="V75" s="94">
        <f>COUNTIF(I6:I112,"57")</f>
        <v>3</v>
      </c>
      <c r="W75" s="112"/>
      <c r="X75" s="78"/>
    </row>
    <row r="76" spans="1:24" s="56" customFormat="1" ht="21">
      <c r="A76" s="20">
        <f t="shared" si="8"/>
        <v>69</v>
      </c>
      <c r="B76" s="322" t="s">
        <v>29</v>
      </c>
      <c r="C76" s="323" t="s">
        <v>171</v>
      </c>
      <c r="D76" s="324" t="s">
        <v>168</v>
      </c>
      <c r="E76" s="317" t="s">
        <v>169</v>
      </c>
      <c r="F76" s="83" t="s">
        <v>120</v>
      </c>
      <c r="G76" s="26">
        <v>3730300740903</v>
      </c>
      <c r="H76" s="225">
        <v>208597</v>
      </c>
      <c r="I76" s="28">
        <f t="shared" si="0"/>
        <v>88</v>
      </c>
      <c r="J76" s="89">
        <f t="shared" si="1"/>
        <v>7</v>
      </c>
      <c r="K76" s="89">
        <f t="shared" si="2"/>
        <v>19</v>
      </c>
      <c r="L76" s="89" t="str">
        <f t="shared" si="3"/>
        <v>88 ปี  7 เดือน  19 วัน</v>
      </c>
      <c r="M76" s="159">
        <f t="shared" si="6"/>
        <v>800</v>
      </c>
      <c r="N76" s="159"/>
      <c r="O76" s="330" t="s">
        <v>379</v>
      </c>
      <c r="P76" s="78"/>
      <c r="Q76" s="341">
        <v>11</v>
      </c>
      <c r="R76" s="154"/>
      <c r="S76" s="92"/>
      <c r="T76" s="112"/>
      <c r="U76" s="377">
        <v>58</v>
      </c>
      <c r="V76" s="94">
        <f>COUNTIF(I6:I112,"58")</f>
        <v>0</v>
      </c>
      <c r="W76" s="112"/>
      <c r="X76" s="78"/>
    </row>
    <row r="77" spans="1:24" s="56" customFormat="1" ht="21">
      <c r="A77" s="20">
        <f t="shared" si="8"/>
        <v>70</v>
      </c>
      <c r="B77" s="322" t="s">
        <v>31</v>
      </c>
      <c r="C77" s="323" t="s">
        <v>374</v>
      </c>
      <c r="D77" s="324" t="s">
        <v>110</v>
      </c>
      <c r="E77" s="319" t="s">
        <v>375</v>
      </c>
      <c r="F77" s="83" t="s">
        <v>120</v>
      </c>
      <c r="G77" s="26">
        <v>3730600582793</v>
      </c>
      <c r="H77" s="225">
        <v>222144</v>
      </c>
      <c r="I77" s="28">
        <f t="shared" si="0"/>
        <v>51</v>
      </c>
      <c r="J77" s="89">
        <f aca="true" t="shared" si="9" ref="J77:J112">DATEDIF(H77,$S$16,"YM")</f>
        <v>6</v>
      </c>
      <c r="K77" s="89">
        <f aca="true" t="shared" si="10" ref="K77:K112">DATEDIF(H77,$S$16,"MD")</f>
        <v>14</v>
      </c>
      <c r="L77" s="89" t="str">
        <f aca="true" t="shared" si="11" ref="L77:L112">I77&amp;" ปี  "&amp;J77&amp;" เดือน  "&amp;K77&amp;" วัน"</f>
        <v>51 ปี  6 เดือน  14 วัน</v>
      </c>
      <c r="M77" s="159">
        <f t="shared" si="6"/>
        <v>800</v>
      </c>
      <c r="N77" s="159"/>
      <c r="O77" s="330" t="s">
        <v>379</v>
      </c>
      <c r="P77" s="78"/>
      <c r="Q77" s="341">
        <v>12</v>
      </c>
      <c r="R77" s="154"/>
      <c r="S77" s="92"/>
      <c r="T77" s="97"/>
      <c r="U77" s="376">
        <v>59</v>
      </c>
      <c r="V77" s="94">
        <f>COUNTIF(I6:I112,"59")</f>
        <v>0</v>
      </c>
      <c r="W77" s="112"/>
      <c r="X77" s="78"/>
    </row>
    <row r="78" spans="1:24" s="56" customFormat="1" ht="21">
      <c r="A78" s="20">
        <f t="shared" si="8"/>
        <v>71</v>
      </c>
      <c r="B78" s="322" t="s">
        <v>29</v>
      </c>
      <c r="C78" s="323" t="s">
        <v>139</v>
      </c>
      <c r="D78" s="324" t="s">
        <v>110</v>
      </c>
      <c r="E78" s="320" t="s">
        <v>375</v>
      </c>
      <c r="F78" s="83" t="s">
        <v>120</v>
      </c>
      <c r="G78" s="26">
        <v>3730600582823</v>
      </c>
      <c r="H78" s="225">
        <v>223152</v>
      </c>
      <c r="I78" s="28">
        <f t="shared" si="0"/>
        <v>48</v>
      </c>
      <c r="J78" s="89">
        <f t="shared" si="9"/>
        <v>9</v>
      </c>
      <c r="K78" s="89">
        <f t="shared" si="10"/>
        <v>11</v>
      </c>
      <c r="L78" s="89" t="str">
        <f t="shared" si="11"/>
        <v>48 ปี  9 เดือน  11 วัน</v>
      </c>
      <c r="M78" s="159">
        <f t="shared" si="6"/>
        <v>800</v>
      </c>
      <c r="N78" s="159"/>
      <c r="O78" s="330" t="s">
        <v>379</v>
      </c>
      <c r="P78" s="78"/>
      <c r="Q78" s="341">
        <v>13</v>
      </c>
      <c r="R78" s="154"/>
      <c r="S78" s="92"/>
      <c r="T78" s="97"/>
      <c r="U78" s="377">
        <v>60</v>
      </c>
      <c r="V78" s="94">
        <f>COUNTIF(I6:I112,"60")</f>
        <v>4</v>
      </c>
      <c r="W78" s="112"/>
      <c r="X78" s="78"/>
    </row>
    <row r="79" spans="1:24" s="56" customFormat="1" ht="21">
      <c r="A79" s="20">
        <f t="shared" si="8"/>
        <v>72</v>
      </c>
      <c r="B79" s="363" t="s">
        <v>29</v>
      </c>
      <c r="C79" s="364" t="s">
        <v>173</v>
      </c>
      <c r="D79" s="365" t="s">
        <v>118</v>
      </c>
      <c r="E79" s="366" t="s">
        <v>376</v>
      </c>
      <c r="F79" s="367" t="s">
        <v>120</v>
      </c>
      <c r="G79" s="208">
        <v>3730600583960</v>
      </c>
      <c r="H79" s="360">
        <v>208556</v>
      </c>
      <c r="I79" s="209">
        <f t="shared" si="0"/>
        <v>88</v>
      </c>
      <c r="J79" s="261">
        <f t="shared" si="9"/>
        <v>8</v>
      </c>
      <c r="K79" s="261">
        <f t="shared" si="10"/>
        <v>29</v>
      </c>
      <c r="L79" s="261" t="str">
        <f t="shared" si="11"/>
        <v>88 ปี  8 เดือน  29 วัน</v>
      </c>
      <c r="M79" s="207">
        <f t="shared" si="6"/>
        <v>800</v>
      </c>
      <c r="N79" s="321"/>
      <c r="O79" s="330" t="s">
        <v>379</v>
      </c>
      <c r="P79" s="78"/>
      <c r="Q79" s="341">
        <v>14</v>
      </c>
      <c r="R79" s="154"/>
      <c r="S79" s="92"/>
      <c r="T79" s="97"/>
      <c r="U79" s="376">
        <v>61</v>
      </c>
      <c r="V79" s="94">
        <f>COUNTIF(I6:I112,"61")</f>
        <v>3</v>
      </c>
      <c r="W79" s="112"/>
      <c r="X79" s="78"/>
    </row>
    <row r="80" spans="1:24" s="56" customFormat="1" ht="21">
      <c r="A80" s="20">
        <f t="shared" si="8"/>
        <v>73</v>
      </c>
      <c r="B80" s="322" t="s">
        <v>30</v>
      </c>
      <c r="C80" s="323" t="s">
        <v>172</v>
      </c>
      <c r="D80" s="324" t="s">
        <v>117</v>
      </c>
      <c r="E80" s="317">
        <v>71</v>
      </c>
      <c r="F80" s="83" t="s">
        <v>120</v>
      </c>
      <c r="G80" s="26">
        <v>3730600587884</v>
      </c>
      <c r="H80" s="225">
        <v>208191</v>
      </c>
      <c r="I80" s="28">
        <f t="shared" si="0"/>
        <v>89</v>
      </c>
      <c r="J80" s="89">
        <f t="shared" si="9"/>
        <v>8</v>
      </c>
      <c r="K80" s="89">
        <f t="shared" si="10"/>
        <v>29</v>
      </c>
      <c r="L80" s="89" t="str">
        <f t="shared" si="11"/>
        <v>89 ปี  8 เดือน  29 วัน</v>
      </c>
      <c r="M80" s="159">
        <f t="shared" si="6"/>
        <v>800</v>
      </c>
      <c r="N80" s="159"/>
      <c r="O80" s="330" t="s">
        <v>379</v>
      </c>
      <c r="P80" s="78"/>
      <c r="Q80" s="341">
        <v>15</v>
      </c>
      <c r="R80" s="154"/>
      <c r="S80" s="92"/>
      <c r="T80" s="97"/>
      <c r="U80" s="377">
        <v>62</v>
      </c>
      <c r="V80" s="94">
        <f>COUNTIF(I6:I112,"62")</f>
        <v>1</v>
      </c>
      <c r="W80" s="112"/>
      <c r="X80" s="78"/>
    </row>
    <row r="81" spans="1:24" s="56" customFormat="1" ht="21">
      <c r="A81" s="20">
        <f t="shared" si="8"/>
        <v>74</v>
      </c>
      <c r="B81" s="322" t="s">
        <v>29</v>
      </c>
      <c r="C81" s="323" t="s">
        <v>377</v>
      </c>
      <c r="D81" s="324" t="s">
        <v>122</v>
      </c>
      <c r="E81" s="317">
        <v>53</v>
      </c>
      <c r="F81" s="83" t="s">
        <v>120</v>
      </c>
      <c r="G81" s="26">
        <v>3730600586128</v>
      </c>
      <c r="H81" s="225">
        <v>224493</v>
      </c>
      <c r="I81" s="28">
        <f t="shared" si="0"/>
        <v>45</v>
      </c>
      <c r="J81" s="89">
        <f t="shared" si="9"/>
        <v>1</v>
      </c>
      <c r="K81" s="89">
        <f t="shared" si="10"/>
        <v>9</v>
      </c>
      <c r="L81" s="89" t="str">
        <f t="shared" si="11"/>
        <v>45 ปี  1 เดือน  9 วัน</v>
      </c>
      <c r="M81" s="159">
        <f t="shared" si="6"/>
        <v>800</v>
      </c>
      <c r="N81" s="159"/>
      <c r="O81" s="330" t="s">
        <v>380</v>
      </c>
      <c r="P81" s="78"/>
      <c r="Q81" s="341">
        <v>16</v>
      </c>
      <c r="R81" s="154"/>
      <c r="S81" s="92"/>
      <c r="T81" s="97"/>
      <c r="U81" s="376">
        <v>63</v>
      </c>
      <c r="V81" s="94">
        <f>COUNTIF(I6:I112,"63")</f>
        <v>2</v>
      </c>
      <c r="W81" s="112"/>
      <c r="X81" s="78"/>
    </row>
    <row r="82" spans="1:24" s="56" customFormat="1" ht="21">
      <c r="A82" s="20">
        <f t="shared" si="8"/>
        <v>75</v>
      </c>
      <c r="B82" s="322" t="s">
        <v>30</v>
      </c>
      <c r="C82" s="323" t="s">
        <v>165</v>
      </c>
      <c r="D82" s="324" t="s">
        <v>122</v>
      </c>
      <c r="E82" s="317">
        <v>53</v>
      </c>
      <c r="F82" s="83" t="s">
        <v>120</v>
      </c>
      <c r="G82" s="26">
        <v>3730600586080</v>
      </c>
      <c r="H82" s="225">
        <v>211478</v>
      </c>
      <c r="I82" s="28">
        <f t="shared" si="0"/>
        <v>80</v>
      </c>
      <c r="J82" s="89">
        <f t="shared" si="9"/>
        <v>8</v>
      </c>
      <c r="K82" s="89">
        <f t="shared" si="10"/>
        <v>29</v>
      </c>
      <c r="L82" s="89" t="str">
        <f t="shared" si="11"/>
        <v>80 ปี  8 เดือน  29 วัน</v>
      </c>
      <c r="M82" s="159">
        <f t="shared" si="6"/>
        <v>800</v>
      </c>
      <c r="N82" s="159"/>
      <c r="O82" s="330" t="s">
        <v>380</v>
      </c>
      <c r="P82" s="78"/>
      <c r="Q82" s="341">
        <v>17</v>
      </c>
      <c r="R82" s="154"/>
      <c r="S82" s="92"/>
      <c r="T82" s="97"/>
      <c r="U82" s="377">
        <v>64</v>
      </c>
      <c r="V82" s="94">
        <f>COUNTIF(I6:I112,"64")</f>
        <v>0</v>
      </c>
      <c r="W82" s="112"/>
      <c r="X82" s="78"/>
    </row>
    <row r="83" spans="1:24" s="56" customFormat="1" ht="21">
      <c r="A83" s="20">
        <f t="shared" si="8"/>
        <v>76</v>
      </c>
      <c r="B83" s="322" t="s">
        <v>29</v>
      </c>
      <c r="C83" s="323" t="s">
        <v>126</v>
      </c>
      <c r="D83" s="324" t="s">
        <v>124</v>
      </c>
      <c r="E83" s="24" t="s">
        <v>125</v>
      </c>
      <c r="F83" s="216" t="s">
        <v>120</v>
      </c>
      <c r="G83" s="26">
        <v>3730600582122</v>
      </c>
      <c r="H83" s="225">
        <v>217828</v>
      </c>
      <c r="I83" s="28">
        <f>DATEDIF(H83,$S$16,"Y")</f>
        <v>63</v>
      </c>
      <c r="J83" s="227">
        <f>DATEDIF(H83,$S$16,"YM")</f>
        <v>4</v>
      </c>
      <c r="K83" s="227">
        <f>DATEDIF(H83,$S$16,"MD")</f>
        <v>9</v>
      </c>
      <c r="L83" s="227" t="str">
        <f>I83&amp;" ปี  "&amp;J83&amp;" เดือน  "&amp;K83&amp;" วัน"</f>
        <v>63 ปี  4 เดือน  9 วัน</v>
      </c>
      <c r="M83" s="218">
        <f>IF(I83&lt;=69,800,IF(I83&lt;=79,800,IF(I83&lt;=89,800,IF(I83&gt;=90,800))))</f>
        <v>800</v>
      </c>
      <c r="N83" s="205"/>
      <c r="O83" s="329" t="s">
        <v>384</v>
      </c>
      <c r="P83" s="78"/>
      <c r="Q83" s="341"/>
      <c r="R83" s="154"/>
      <c r="S83" s="92"/>
      <c r="T83" s="97"/>
      <c r="U83" s="376">
        <v>65</v>
      </c>
      <c r="V83" s="94">
        <f>COUNTIF(I6:I112,"65")</f>
        <v>2</v>
      </c>
      <c r="W83" s="112"/>
      <c r="X83" s="78"/>
    </row>
    <row r="84" spans="1:24" s="56" customFormat="1" ht="21">
      <c r="A84" s="20">
        <f t="shared" si="8"/>
        <v>77</v>
      </c>
      <c r="B84" s="343" t="s">
        <v>245</v>
      </c>
      <c r="C84" s="344" t="s">
        <v>415</v>
      </c>
      <c r="D84" s="345" t="s">
        <v>416</v>
      </c>
      <c r="E84" s="247" t="s">
        <v>101</v>
      </c>
      <c r="F84" s="216" t="s">
        <v>120</v>
      </c>
      <c r="G84" s="26">
        <v>1738500002133</v>
      </c>
      <c r="H84" s="225">
        <v>236541</v>
      </c>
      <c r="I84" s="28">
        <f>DATEDIF(H84,$S$16,"Y")</f>
        <v>12</v>
      </c>
      <c r="J84" s="227">
        <f>DATEDIF(H84,$S$16,"YM")</f>
        <v>1</v>
      </c>
      <c r="K84" s="227">
        <f>DATEDIF(H84,$S$16,"MD")</f>
        <v>14</v>
      </c>
      <c r="L84" s="227" t="str">
        <f>I84&amp;" ปี  "&amp;J84&amp;" เดือน  "&amp;K84&amp;" วัน"</f>
        <v>12 ปี  1 เดือน  14 วัน</v>
      </c>
      <c r="M84" s="218">
        <f>IF(I84&lt;=69,800,IF(I84&lt;=79,800,IF(I84&lt;=89,800,IF(I84&gt;=90,800))))</f>
        <v>800</v>
      </c>
      <c r="N84" s="205"/>
      <c r="O84" s="342" t="s">
        <v>419</v>
      </c>
      <c r="P84" s="78"/>
      <c r="Q84" s="355"/>
      <c r="R84" s="154"/>
      <c r="S84" s="92"/>
      <c r="T84" s="97"/>
      <c r="U84" s="377">
        <v>66</v>
      </c>
      <c r="V84" s="94">
        <f>COUNTIF(I6:I112,"66")</f>
        <v>1</v>
      </c>
      <c r="W84" s="112"/>
      <c r="X84" s="78"/>
    </row>
    <row r="85" spans="1:24" s="56" customFormat="1" ht="21">
      <c r="A85" s="20">
        <f t="shared" si="8"/>
        <v>78</v>
      </c>
      <c r="B85" s="21" t="s">
        <v>30</v>
      </c>
      <c r="C85" s="22" t="s">
        <v>44</v>
      </c>
      <c r="D85" s="23" t="s">
        <v>133</v>
      </c>
      <c r="E85" s="247" t="s">
        <v>80</v>
      </c>
      <c r="F85" s="216" t="s">
        <v>82</v>
      </c>
      <c r="G85" s="26" t="s">
        <v>305</v>
      </c>
      <c r="H85" s="225">
        <v>217755</v>
      </c>
      <c r="I85" s="28">
        <f aca="true" t="shared" si="12" ref="I85:I112">DATEDIF(H85,$S$16,"Y")</f>
        <v>63</v>
      </c>
      <c r="J85" s="227">
        <f t="shared" si="9"/>
        <v>6</v>
      </c>
      <c r="K85" s="227">
        <f t="shared" si="10"/>
        <v>21</v>
      </c>
      <c r="L85" s="227" t="str">
        <f t="shared" si="11"/>
        <v>63 ปี  6 เดือน  21 วัน</v>
      </c>
      <c r="M85" s="218">
        <f aca="true" t="shared" si="13" ref="M85:M112">IF(I85&lt;=69,800,IF(I85&lt;=79,800,IF(I85&lt;=89,800,IF(I85&gt;=90,800))))</f>
        <v>800</v>
      </c>
      <c r="N85" s="205"/>
      <c r="O85" s="170"/>
      <c r="P85" s="78"/>
      <c r="Q85" s="112"/>
      <c r="R85" s="154"/>
      <c r="S85" s="92"/>
      <c r="T85" s="112"/>
      <c r="U85" s="376">
        <v>67</v>
      </c>
      <c r="V85" s="94">
        <f>COUNTIF(I6:I112,"67")</f>
        <v>2</v>
      </c>
      <c r="W85" s="112"/>
      <c r="X85" s="78"/>
    </row>
    <row r="86" spans="1:24" s="56" customFormat="1" ht="21">
      <c r="A86" s="20">
        <f t="shared" si="8"/>
        <v>79</v>
      </c>
      <c r="B86" s="21" t="s">
        <v>29</v>
      </c>
      <c r="C86" s="22" t="s">
        <v>92</v>
      </c>
      <c r="D86" s="23" t="s">
        <v>306</v>
      </c>
      <c r="E86" s="247" t="s">
        <v>55</v>
      </c>
      <c r="F86" s="216" t="s">
        <v>82</v>
      </c>
      <c r="G86" s="26" t="s">
        <v>307</v>
      </c>
      <c r="H86" s="225">
        <v>223530</v>
      </c>
      <c r="I86" s="28">
        <f t="shared" si="12"/>
        <v>47</v>
      </c>
      <c r="J86" s="227">
        <f t="shared" si="9"/>
        <v>8</v>
      </c>
      <c r="K86" s="227">
        <f t="shared" si="10"/>
        <v>29</v>
      </c>
      <c r="L86" s="227" t="str">
        <f t="shared" si="11"/>
        <v>47 ปี  8 เดือน  29 วัน</v>
      </c>
      <c r="M86" s="218">
        <f t="shared" si="13"/>
        <v>800</v>
      </c>
      <c r="N86" s="205"/>
      <c r="O86" s="170"/>
      <c r="P86" s="78"/>
      <c r="Q86" s="112"/>
      <c r="R86" s="154"/>
      <c r="S86" s="92"/>
      <c r="T86" s="112"/>
      <c r="U86" s="377">
        <v>68</v>
      </c>
      <c r="V86" s="94">
        <f>COUNTIF(I6:I112,"68")</f>
        <v>1</v>
      </c>
      <c r="W86" s="112"/>
      <c r="X86" s="78"/>
    </row>
    <row r="87" spans="1:24" s="56" customFormat="1" ht="21">
      <c r="A87" s="20">
        <f t="shared" si="8"/>
        <v>80</v>
      </c>
      <c r="B87" s="21" t="s">
        <v>31</v>
      </c>
      <c r="C87" s="22" t="s">
        <v>308</v>
      </c>
      <c r="D87" s="23" t="s">
        <v>309</v>
      </c>
      <c r="E87" s="247" t="s">
        <v>137</v>
      </c>
      <c r="F87" s="216" t="s">
        <v>82</v>
      </c>
      <c r="G87" s="26" t="s">
        <v>310</v>
      </c>
      <c r="H87" s="225">
        <v>225469</v>
      </c>
      <c r="I87" s="28">
        <f t="shared" si="12"/>
        <v>42</v>
      </c>
      <c r="J87" s="227">
        <f t="shared" si="9"/>
        <v>5</v>
      </c>
      <c r="K87" s="227">
        <f t="shared" si="10"/>
        <v>7</v>
      </c>
      <c r="L87" s="227" t="str">
        <f t="shared" si="11"/>
        <v>42 ปี  5 เดือน  7 วัน</v>
      </c>
      <c r="M87" s="218">
        <f t="shared" si="13"/>
        <v>800</v>
      </c>
      <c r="N87" s="205"/>
      <c r="O87" s="170"/>
      <c r="P87" s="78"/>
      <c r="Q87" s="112"/>
      <c r="R87" s="92"/>
      <c r="S87" s="92"/>
      <c r="T87" s="112"/>
      <c r="U87" s="376">
        <v>69</v>
      </c>
      <c r="V87" s="94">
        <f>COUNTIF(I6:I112,"69")</f>
        <v>2</v>
      </c>
      <c r="W87" s="112"/>
      <c r="X87" s="78"/>
    </row>
    <row r="88" spans="1:24" s="56" customFormat="1" ht="21">
      <c r="A88" s="20">
        <f t="shared" si="8"/>
        <v>81</v>
      </c>
      <c r="B88" s="21" t="s">
        <v>31</v>
      </c>
      <c r="C88" s="22" t="s">
        <v>130</v>
      </c>
      <c r="D88" s="23" t="s">
        <v>131</v>
      </c>
      <c r="E88" s="247" t="s">
        <v>38</v>
      </c>
      <c r="F88" s="216" t="s">
        <v>82</v>
      </c>
      <c r="G88" s="26" t="s">
        <v>311</v>
      </c>
      <c r="H88" s="225">
        <v>216209</v>
      </c>
      <c r="I88" s="28">
        <f t="shared" si="12"/>
        <v>67</v>
      </c>
      <c r="J88" s="227">
        <f t="shared" si="9"/>
        <v>9</v>
      </c>
      <c r="K88" s="227">
        <f t="shared" si="10"/>
        <v>15</v>
      </c>
      <c r="L88" s="227" t="str">
        <f t="shared" si="11"/>
        <v>67 ปี  9 เดือน  15 วัน</v>
      </c>
      <c r="M88" s="218">
        <f t="shared" si="13"/>
        <v>800</v>
      </c>
      <c r="N88" s="205"/>
      <c r="O88" s="170"/>
      <c r="P88" s="78"/>
      <c r="Q88" s="112"/>
      <c r="R88" s="112"/>
      <c r="S88" s="112"/>
      <c r="T88" s="112"/>
      <c r="U88" s="377">
        <v>70</v>
      </c>
      <c r="V88" s="94">
        <f>COUNTIF(I6:I112,"70")</f>
        <v>0</v>
      </c>
      <c r="W88" s="112"/>
      <c r="X88" s="78"/>
    </row>
    <row r="89" spans="1:24" s="56" customFormat="1" ht="21">
      <c r="A89" s="20">
        <f t="shared" si="8"/>
        <v>82</v>
      </c>
      <c r="B89" s="213" t="s">
        <v>29</v>
      </c>
      <c r="C89" s="214" t="s">
        <v>312</v>
      </c>
      <c r="D89" s="215" t="s">
        <v>313</v>
      </c>
      <c r="E89" s="246" t="s">
        <v>54</v>
      </c>
      <c r="F89" s="217" t="s">
        <v>82</v>
      </c>
      <c r="G89" s="208" t="s">
        <v>314</v>
      </c>
      <c r="H89" s="360">
        <v>220335</v>
      </c>
      <c r="I89" s="209">
        <f t="shared" si="12"/>
        <v>56</v>
      </c>
      <c r="J89" s="361">
        <f t="shared" si="9"/>
        <v>5</v>
      </c>
      <c r="K89" s="361">
        <f t="shared" si="10"/>
        <v>27</v>
      </c>
      <c r="L89" s="361" t="str">
        <f t="shared" si="11"/>
        <v>56 ปี  5 เดือน  27 วัน</v>
      </c>
      <c r="M89" s="362">
        <f t="shared" si="13"/>
        <v>800</v>
      </c>
      <c r="N89" s="210"/>
      <c r="O89" s="259" t="s">
        <v>424</v>
      </c>
      <c r="P89" s="78"/>
      <c r="Q89" s="112"/>
      <c r="R89" s="92"/>
      <c r="S89" s="92"/>
      <c r="T89" s="375"/>
      <c r="U89" s="376">
        <v>71</v>
      </c>
      <c r="V89" s="94">
        <f>COUNTIF(I6:I112,"71")</f>
        <v>0</v>
      </c>
      <c r="W89" s="112"/>
      <c r="X89" s="78"/>
    </row>
    <row r="90" spans="1:24" s="56" customFormat="1" ht="21">
      <c r="A90" s="20">
        <f t="shared" si="8"/>
        <v>83</v>
      </c>
      <c r="B90" s="213" t="s">
        <v>30</v>
      </c>
      <c r="C90" s="214" t="s">
        <v>174</v>
      </c>
      <c r="D90" s="215" t="s">
        <v>119</v>
      </c>
      <c r="E90" s="246" t="s">
        <v>175</v>
      </c>
      <c r="F90" s="217" t="s">
        <v>82</v>
      </c>
      <c r="G90" s="208">
        <v>3730600592454</v>
      </c>
      <c r="H90" s="360">
        <v>212209</v>
      </c>
      <c r="I90" s="209">
        <f t="shared" si="12"/>
        <v>78</v>
      </c>
      <c r="J90" s="361">
        <f t="shared" si="9"/>
        <v>8</v>
      </c>
      <c r="K90" s="361">
        <f t="shared" si="10"/>
        <v>29</v>
      </c>
      <c r="L90" s="361" t="str">
        <f t="shared" si="11"/>
        <v>78 ปี  8 เดือน  29 วัน</v>
      </c>
      <c r="M90" s="362">
        <f t="shared" si="13"/>
        <v>800</v>
      </c>
      <c r="N90" s="264"/>
      <c r="O90" s="265" t="s">
        <v>430</v>
      </c>
      <c r="P90" s="78"/>
      <c r="Q90" s="112"/>
      <c r="R90" s="92"/>
      <c r="S90" s="92"/>
      <c r="T90" s="375"/>
      <c r="U90" s="377">
        <v>72</v>
      </c>
      <c r="V90" s="94">
        <f>COUNTIF(I6:I112,"72")</f>
        <v>0</v>
      </c>
      <c r="W90" s="112"/>
      <c r="X90" s="78"/>
    </row>
    <row r="91" spans="1:24" s="56" customFormat="1" ht="21">
      <c r="A91" s="20">
        <f t="shared" si="8"/>
        <v>84</v>
      </c>
      <c r="B91" s="213" t="s">
        <v>31</v>
      </c>
      <c r="C91" s="214" t="s">
        <v>431</v>
      </c>
      <c r="D91" s="215" t="s">
        <v>432</v>
      </c>
      <c r="E91" s="246" t="s">
        <v>176</v>
      </c>
      <c r="F91" s="217" t="s">
        <v>82</v>
      </c>
      <c r="G91" s="208">
        <v>1100200906566</v>
      </c>
      <c r="H91" s="360">
        <v>232720</v>
      </c>
      <c r="I91" s="209">
        <f t="shared" si="12"/>
        <v>22</v>
      </c>
      <c r="J91" s="361">
        <f t="shared" si="9"/>
        <v>7</v>
      </c>
      <c r="K91" s="361">
        <f t="shared" si="10"/>
        <v>2</v>
      </c>
      <c r="L91" s="361" t="str">
        <f t="shared" si="11"/>
        <v>22 ปี  7 เดือน  2 วัน</v>
      </c>
      <c r="M91" s="362">
        <f t="shared" si="13"/>
        <v>800</v>
      </c>
      <c r="N91" s="264"/>
      <c r="O91" s="265" t="s">
        <v>430</v>
      </c>
      <c r="P91" s="78"/>
      <c r="Q91" s="112"/>
      <c r="R91" s="92"/>
      <c r="S91" s="92"/>
      <c r="T91" s="375"/>
      <c r="U91" s="376">
        <v>73</v>
      </c>
      <c r="V91" s="94">
        <f>COUNTIF(I6:I112,"73")</f>
        <v>2</v>
      </c>
      <c r="W91" s="112"/>
      <c r="X91" s="78"/>
    </row>
    <row r="92" spans="1:24" s="56" customFormat="1" ht="21">
      <c r="A92" s="20">
        <f t="shared" si="8"/>
        <v>85</v>
      </c>
      <c r="B92" s="21" t="s">
        <v>31</v>
      </c>
      <c r="C92" s="22" t="s">
        <v>316</v>
      </c>
      <c r="D92" s="23" t="s">
        <v>135</v>
      </c>
      <c r="E92" s="247" t="s">
        <v>42</v>
      </c>
      <c r="F92" s="216" t="s">
        <v>84</v>
      </c>
      <c r="G92" s="26" t="s">
        <v>317</v>
      </c>
      <c r="H92" s="225">
        <v>226360</v>
      </c>
      <c r="I92" s="28">
        <f t="shared" si="12"/>
        <v>39</v>
      </c>
      <c r="J92" s="227">
        <f t="shared" si="9"/>
        <v>11</v>
      </c>
      <c r="K92" s="227">
        <f t="shared" si="10"/>
        <v>29</v>
      </c>
      <c r="L92" s="227" t="str">
        <f t="shared" si="11"/>
        <v>39 ปี  11 เดือน  29 วัน</v>
      </c>
      <c r="M92" s="218">
        <f t="shared" si="13"/>
        <v>800</v>
      </c>
      <c r="N92" s="205"/>
      <c r="O92" s="170"/>
      <c r="P92" s="78"/>
      <c r="Q92" s="112"/>
      <c r="R92" s="154"/>
      <c r="S92" s="92"/>
      <c r="T92" s="375"/>
      <c r="U92" s="377">
        <v>74</v>
      </c>
      <c r="V92" s="94">
        <f>COUNTIF(I6:I112,"74")</f>
        <v>2</v>
      </c>
      <c r="W92" s="112"/>
      <c r="X92" s="78"/>
    </row>
    <row r="93" spans="1:24" s="56" customFormat="1" ht="21">
      <c r="A93" s="20">
        <f t="shared" si="8"/>
        <v>86</v>
      </c>
      <c r="B93" s="21" t="s">
        <v>29</v>
      </c>
      <c r="C93" s="22" t="s">
        <v>318</v>
      </c>
      <c r="D93" s="23" t="s">
        <v>116</v>
      </c>
      <c r="E93" s="247" t="s">
        <v>88</v>
      </c>
      <c r="F93" s="216" t="s">
        <v>84</v>
      </c>
      <c r="G93" s="26" t="s">
        <v>319</v>
      </c>
      <c r="H93" s="225">
        <v>223815</v>
      </c>
      <c r="I93" s="28">
        <f t="shared" si="12"/>
        <v>46</v>
      </c>
      <c r="J93" s="227">
        <f t="shared" si="9"/>
        <v>11</v>
      </c>
      <c r="K93" s="227">
        <f t="shared" si="10"/>
        <v>18</v>
      </c>
      <c r="L93" s="227" t="str">
        <f t="shared" si="11"/>
        <v>46 ปี  11 เดือน  18 วัน</v>
      </c>
      <c r="M93" s="218">
        <f t="shared" si="13"/>
        <v>800</v>
      </c>
      <c r="N93" s="205"/>
      <c r="O93" s="170"/>
      <c r="P93" s="78"/>
      <c r="Q93" s="112"/>
      <c r="R93" s="154"/>
      <c r="S93" s="92"/>
      <c r="T93" s="375"/>
      <c r="U93" s="376">
        <v>75</v>
      </c>
      <c r="V93" s="94">
        <f>COUNTIF(I6:I112,"75")</f>
        <v>0</v>
      </c>
      <c r="W93" s="112"/>
      <c r="X93" s="78"/>
    </row>
    <row r="94" spans="1:24" s="56" customFormat="1" ht="21">
      <c r="A94" s="20">
        <f t="shared" si="8"/>
        <v>87</v>
      </c>
      <c r="B94" s="21" t="s">
        <v>214</v>
      </c>
      <c r="C94" s="22" t="s">
        <v>320</v>
      </c>
      <c r="D94" s="23" t="s">
        <v>136</v>
      </c>
      <c r="E94" s="247" t="s">
        <v>177</v>
      </c>
      <c r="F94" s="216" t="s">
        <v>84</v>
      </c>
      <c r="G94" s="26" t="s">
        <v>321</v>
      </c>
      <c r="H94" s="225">
        <v>233421</v>
      </c>
      <c r="I94" s="28">
        <f t="shared" si="12"/>
        <v>20</v>
      </c>
      <c r="J94" s="227">
        <f t="shared" si="9"/>
        <v>8</v>
      </c>
      <c r="K94" s="227">
        <f t="shared" si="10"/>
        <v>0</v>
      </c>
      <c r="L94" s="227" t="str">
        <f t="shared" si="11"/>
        <v>20 ปี  8 เดือน  0 วัน</v>
      </c>
      <c r="M94" s="218">
        <f t="shared" si="13"/>
        <v>800</v>
      </c>
      <c r="N94" s="205"/>
      <c r="O94" s="170"/>
      <c r="P94" s="78"/>
      <c r="Q94" s="112"/>
      <c r="R94" s="154"/>
      <c r="S94" s="92"/>
      <c r="T94" s="104"/>
      <c r="U94" s="377">
        <v>76</v>
      </c>
      <c r="V94" s="94">
        <f>COUNTIF(I6:I112,"76")</f>
        <v>1</v>
      </c>
      <c r="W94" s="112"/>
      <c r="X94" s="78"/>
    </row>
    <row r="95" spans="1:24" s="56" customFormat="1" ht="21">
      <c r="A95" s="20">
        <f t="shared" si="8"/>
        <v>88</v>
      </c>
      <c r="B95" s="21" t="s">
        <v>30</v>
      </c>
      <c r="C95" s="22" t="s">
        <v>121</v>
      </c>
      <c r="D95" s="23" t="s">
        <v>178</v>
      </c>
      <c r="E95" s="247" t="s">
        <v>52</v>
      </c>
      <c r="F95" s="216" t="s">
        <v>84</v>
      </c>
      <c r="G95" s="26" t="s">
        <v>322</v>
      </c>
      <c r="H95" s="225">
        <v>211113</v>
      </c>
      <c r="I95" s="28">
        <f t="shared" si="12"/>
        <v>81</v>
      </c>
      <c r="J95" s="227">
        <f t="shared" si="9"/>
        <v>8</v>
      </c>
      <c r="K95" s="227">
        <f t="shared" si="10"/>
        <v>29</v>
      </c>
      <c r="L95" s="227" t="str">
        <f t="shared" si="11"/>
        <v>81 ปี  8 เดือน  29 วัน</v>
      </c>
      <c r="M95" s="218">
        <f t="shared" si="13"/>
        <v>800</v>
      </c>
      <c r="N95" s="205"/>
      <c r="O95" s="170"/>
      <c r="P95" s="78"/>
      <c r="Q95" s="112"/>
      <c r="R95" s="154"/>
      <c r="S95" s="92"/>
      <c r="T95" s="104"/>
      <c r="U95" s="376">
        <v>77</v>
      </c>
      <c r="V95" s="94">
        <f>COUNTIF(I6:I112,"77")</f>
        <v>2</v>
      </c>
      <c r="W95" s="112"/>
      <c r="X95" s="78"/>
    </row>
    <row r="96" spans="1:24" s="56" customFormat="1" ht="21">
      <c r="A96" s="20">
        <f t="shared" si="8"/>
        <v>89</v>
      </c>
      <c r="B96" s="322" t="s">
        <v>245</v>
      </c>
      <c r="C96" s="323" t="s">
        <v>381</v>
      </c>
      <c r="D96" s="324" t="s">
        <v>382</v>
      </c>
      <c r="E96" s="24" t="s">
        <v>48</v>
      </c>
      <c r="F96" s="216" t="s">
        <v>84</v>
      </c>
      <c r="G96" s="26">
        <v>1738700144829</v>
      </c>
      <c r="H96" s="225">
        <v>240561</v>
      </c>
      <c r="I96" s="28">
        <f>DATEDIF(H96,$S$16,"Y")</f>
        <v>1</v>
      </c>
      <c r="J96" s="227">
        <f>DATEDIF(H96,$S$16,"YM")</f>
        <v>1</v>
      </c>
      <c r="K96" s="227">
        <f>DATEDIF(H96,$S$16,"MD")</f>
        <v>12</v>
      </c>
      <c r="L96" s="227" t="str">
        <f>I96&amp;" ปี  "&amp;J96&amp;" เดือน  "&amp;K96&amp;" วัน"</f>
        <v>1 ปี  1 เดือน  12 วัน</v>
      </c>
      <c r="M96" s="218">
        <f>IF(I96&lt;=69,800,IF(I96&lt;=79,800,IF(I96&lt;=89,800,IF(I96&gt;=90,800))))</f>
        <v>800</v>
      </c>
      <c r="N96" s="205"/>
      <c r="O96" s="329" t="s">
        <v>383</v>
      </c>
      <c r="P96" s="78"/>
      <c r="Q96" s="112"/>
      <c r="R96" s="154"/>
      <c r="S96" s="92"/>
      <c r="T96" s="104"/>
      <c r="U96" s="377">
        <v>78</v>
      </c>
      <c r="V96" s="94">
        <f>COUNTIF(I6:I112,"78")</f>
        <v>2</v>
      </c>
      <c r="W96" s="112"/>
      <c r="X96" s="78"/>
    </row>
    <row r="97" spans="1:24" s="56" customFormat="1" ht="21">
      <c r="A97" s="20">
        <f t="shared" si="8"/>
        <v>90</v>
      </c>
      <c r="B97" s="21" t="s">
        <v>31</v>
      </c>
      <c r="C97" s="22" t="s">
        <v>323</v>
      </c>
      <c r="D97" s="23" t="s">
        <v>181</v>
      </c>
      <c r="E97" s="247" t="s">
        <v>324</v>
      </c>
      <c r="F97" s="216" t="s">
        <v>183</v>
      </c>
      <c r="G97" s="26" t="s">
        <v>325</v>
      </c>
      <c r="H97" s="225">
        <v>221000</v>
      </c>
      <c r="I97" s="28">
        <f t="shared" si="12"/>
        <v>54</v>
      </c>
      <c r="J97" s="227">
        <f t="shared" si="9"/>
        <v>8</v>
      </c>
      <c r="K97" s="227">
        <f t="shared" si="10"/>
        <v>3</v>
      </c>
      <c r="L97" s="227" t="str">
        <f t="shared" si="11"/>
        <v>54 ปี  8 เดือน  3 วัน</v>
      </c>
      <c r="M97" s="218">
        <f t="shared" si="13"/>
        <v>800</v>
      </c>
      <c r="N97" s="205"/>
      <c r="O97" s="170"/>
      <c r="P97" s="78"/>
      <c r="Q97" s="112"/>
      <c r="R97" s="154"/>
      <c r="S97" s="92"/>
      <c r="T97" s="104"/>
      <c r="U97" s="376">
        <v>79</v>
      </c>
      <c r="V97" s="94">
        <f>COUNTIF(I6:I112,"79")</f>
        <v>0</v>
      </c>
      <c r="W97" s="112"/>
      <c r="X97" s="78"/>
    </row>
    <row r="98" spans="1:24" s="56" customFormat="1" ht="21">
      <c r="A98" s="20">
        <f t="shared" si="8"/>
        <v>91</v>
      </c>
      <c r="B98" s="21" t="s">
        <v>29</v>
      </c>
      <c r="C98" s="22" t="s">
        <v>326</v>
      </c>
      <c r="D98" s="23" t="s">
        <v>140</v>
      </c>
      <c r="E98" s="247" t="s">
        <v>39</v>
      </c>
      <c r="F98" s="216" t="s">
        <v>183</v>
      </c>
      <c r="G98" s="26" t="s">
        <v>327</v>
      </c>
      <c r="H98" s="225">
        <v>220466</v>
      </c>
      <c r="I98" s="28">
        <f t="shared" si="12"/>
        <v>56</v>
      </c>
      <c r="J98" s="227">
        <f t="shared" si="9"/>
        <v>1</v>
      </c>
      <c r="K98" s="227">
        <f t="shared" si="10"/>
        <v>18</v>
      </c>
      <c r="L98" s="227" t="str">
        <f t="shared" si="11"/>
        <v>56 ปี  1 เดือน  18 วัน</v>
      </c>
      <c r="M98" s="218">
        <f t="shared" si="13"/>
        <v>800</v>
      </c>
      <c r="N98" s="205"/>
      <c r="O98" s="170"/>
      <c r="P98" s="78"/>
      <c r="Q98" s="112"/>
      <c r="R98" s="154"/>
      <c r="S98" s="92"/>
      <c r="T98" s="112"/>
      <c r="U98" s="377">
        <v>80</v>
      </c>
      <c r="V98" s="94">
        <f>COUNTIF(I6:I112,"80")</f>
        <v>3</v>
      </c>
      <c r="W98" s="112"/>
      <c r="X98" s="78"/>
    </row>
    <row r="99" spans="1:24" s="56" customFormat="1" ht="21">
      <c r="A99" s="20">
        <f t="shared" si="8"/>
        <v>92</v>
      </c>
      <c r="B99" s="21" t="s">
        <v>29</v>
      </c>
      <c r="C99" s="22" t="s">
        <v>143</v>
      </c>
      <c r="D99" s="23" t="s">
        <v>328</v>
      </c>
      <c r="E99" s="247" t="s">
        <v>182</v>
      </c>
      <c r="F99" s="216" t="s">
        <v>183</v>
      </c>
      <c r="G99" s="26" t="s">
        <v>329</v>
      </c>
      <c r="H99" s="225">
        <v>231226</v>
      </c>
      <c r="I99" s="28">
        <f t="shared" si="12"/>
        <v>26</v>
      </c>
      <c r="J99" s="227">
        <f t="shared" si="9"/>
        <v>8</v>
      </c>
      <c r="K99" s="227">
        <f t="shared" si="10"/>
        <v>4</v>
      </c>
      <c r="L99" s="227" t="str">
        <f t="shared" si="11"/>
        <v>26 ปี  8 เดือน  4 วัน</v>
      </c>
      <c r="M99" s="218">
        <f t="shared" si="13"/>
        <v>800</v>
      </c>
      <c r="N99" s="205"/>
      <c r="O99" s="170"/>
      <c r="P99" s="78"/>
      <c r="Q99" s="112"/>
      <c r="R99" s="154"/>
      <c r="S99" s="92"/>
      <c r="T99" s="112"/>
      <c r="U99" s="376">
        <v>81</v>
      </c>
      <c r="V99" s="94">
        <f>COUNTIF(I6:I112,"81")</f>
        <v>1</v>
      </c>
      <c r="W99" s="112"/>
      <c r="X99" s="78"/>
    </row>
    <row r="100" spans="1:24" s="56" customFormat="1" ht="23.25">
      <c r="A100" s="20">
        <f t="shared" si="8"/>
        <v>93</v>
      </c>
      <c r="B100" s="322" t="s">
        <v>29</v>
      </c>
      <c r="C100" s="323" t="s">
        <v>378</v>
      </c>
      <c r="D100" s="324" t="s">
        <v>180</v>
      </c>
      <c r="E100" s="247" t="s">
        <v>51</v>
      </c>
      <c r="F100" s="216" t="s">
        <v>183</v>
      </c>
      <c r="G100" s="26">
        <v>1102001773941</v>
      </c>
      <c r="H100" s="225">
        <v>232150</v>
      </c>
      <c r="I100" s="28">
        <f t="shared" si="12"/>
        <v>24</v>
      </c>
      <c r="J100" s="227">
        <f t="shared" si="9"/>
        <v>1</v>
      </c>
      <c r="K100" s="227">
        <f t="shared" si="10"/>
        <v>22</v>
      </c>
      <c r="L100" s="227" t="str">
        <f t="shared" si="11"/>
        <v>24 ปี  1 เดือน  22 วัน</v>
      </c>
      <c r="M100" s="218">
        <f t="shared" si="13"/>
        <v>800</v>
      </c>
      <c r="N100" s="205"/>
      <c r="O100" s="331" t="s">
        <v>380</v>
      </c>
      <c r="P100" s="78"/>
      <c r="Q100" s="341">
        <v>18</v>
      </c>
      <c r="R100" s="154"/>
      <c r="S100" s="92"/>
      <c r="T100" s="112"/>
      <c r="U100" s="377">
        <v>82</v>
      </c>
      <c r="V100" s="94">
        <f>COUNTIF(I6:I112,"82")</f>
        <v>0</v>
      </c>
      <c r="W100" s="112"/>
      <c r="X100" s="78"/>
    </row>
    <row r="101" spans="1:24" s="56" customFormat="1" ht="21">
      <c r="A101" s="20"/>
      <c r="B101" s="136" t="s">
        <v>29</v>
      </c>
      <c r="C101" s="137" t="s">
        <v>357</v>
      </c>
      <c r="D101" s="138" t="s">
        <v>105</v>
      </c>
      <c r="E101" s="334" t="s">
        <v>67</v>
      </c>
      <c r="F101" s="335" t="s">
        <v>183</v>
      </c>
      <c r="G101" s="139">
        <v>3101701062597</v>
      </c>
      <c r="H101" s="336">
        <v>218053</v>
      </c>
      <c r="I101" s="89">
        <v>0</v>
      </c>
      <c r="J101" s="227">
        <f t="shared" si="9"/>
        <v>8</v>
      </c>
      <c r="K101" s="227">
        <f t="shared" si="10"/>
        <v>29</v>
      </c>
      <c r="L101" s="227" t="str">
        <f t="shared" si="11"/>
        <v>0 ปี  8 เดือน  29 วัน</v>
      </c>
      <c r="M101" s="337" t="s">
        <v>417</v>
      </c>
      <c r="N101" s="338"/>
      <c r="O101" s="170" t="s">
        <v>356</v>
      </c>
      <c r="P101" s="78"/>
      <c r="Q101" s="341" t="s">
        <v>418</v>
      </c>
      <c r="R101" s="154"/>
      <c r="S101" s="92"/>
      <c r="T101" s="112"/>
      <c r="U101" s="376">
        <v>83</v>
      </c>
      <c r="V101" s="94">
        <f>COUNTIF(I6:I112,"83")</f>
        <v>0</v>
      </c>
      <c r="W101" s="112"/>
      <c r="X101" s="78"/>
    </row>
    <row r="102" spans="1:24" s="56" customFormat="1" ht="21">
      <c r="A102" s="20">
        <v>94</v>
      </c>
      <c r="B102" s="344" t="s">
        <v>31</v>
      </c>
      <c r="C102" s="344" t="s">
        <v>96</v>
      </c>
      <c r="D102" s="345" t="s">
        <v>141</v>
      </c>
      <c r="E102" s="334" t="s">
        <v>203</v>
      </c>
      <c r="F102" s="335" t="s">
        <v>183</v>
      </c>
      <c r="G102" s="139">
        <v>3700100555771</v>
      </c>
      <c r="H102" s="336">
        <v>218547</v>
      </c>
      <c r="I102" s="89">
        <f t="shared" si="12"/>
        <v>61</v>
      </c>
      <c r="J102" s="227">
        <f t="shared" si="9"/>
        <v>4</v>
      </c>
      <c r="K102" s="227">
        <f t="shared" si="10"/>
        <v>20</v>
      </c>
      <c r="L102" s="227" t="str">
        <f t="shared" si="11"/>
        <v>61 ปี  4 เดือน  20 วัน</v>
      </c>
      <c r="M102" s="218">
        <f t="shared" si="13"/>
        <v>800</v>
      </c>
      <c r="N102" s="338"/>
      <c r="O102" s="342" t="s">
        <v>420</v>
      </c>
      <c r="P102" s="78"/>
      <c r="Q102" s="358"/>
      <c r="R102" s="154"/>
      <c r="S102" s="92"/>
      <c r="T102" s="112"/>
      <c r="U102" s="377">
        <v>84</v>
      </c>
      <c r="V102" s="94">
        <f>COUNTIF(I6:I112,"84")</f>
        <v>0</v>
      </c>
      <c r="W102" s="112"/>
      <c r="X102" s="78"/>
    </row>
    <row r="103" spans="1:24" s="56" customFormat="1" ht="21">
      <c r="A103" s="20">
        <f t="shared" si="8"/>
        <v>95</v>
      </c>
      <c r="B103" s="21" t="s">
        <v>30</v>
      </c>
      <c r="C103" s="22" t="s">
        <v>61</v>
      </c>
      <c r="D103" s="23" t="s">
        <v>111</v>
      </c>
      <c r="E103" s="247" t="s">
        <v>47</v>
      </c>
      <c r="F103" s="216" t="s">
        <v>204</v>
      </c>
      <c r="G103" s="26" t="s">
        <v>330</v>
      </c>
      <c r="H103" s="225">
        <v>215496</v>
      </c>
      <c r="I103" s="28">
        <f t="shared" si="12"/>
        <v>69</v>
      </c>
      <c r="J103" s="227">
        <f t="shared" si="9"/>
        <v>8</v>
      </c>
      <c r="K103" s="227">
        <f t="shared" si="10"/>
        <v>29</v>
      </c>
      <c r="L103" s="227" t="str">
        <f t="shared" si="11"/>
        <v>69 ปี  8 เดือน  29 วัน</v>
      </c>
      <c r="M103" s="218">
        <f t="shared" si="13"/>
        <v>800</v>
      </c>
      <c r="N103" s="205"/>
      <c r="O103" s="170"/>
      <c r="P103" s="78"/>
      <c r="Q103" s="112" t="s">
        <v>187</v>
      </c>
      <c r="R103" s="154"/>
      <c r="S103" s="92"/>
      <c r="T103" s="112"/>
      <c r="U103" s="376">
        <v>85</v>
      </c>
      <c r="V103" s="94">
        <f>COUNTIF(I6:I112,"85")</f>
        <v>0</v>
      </c>
      <c r="W103" s="112"/>
      <c r="X103" s="78"/>
    </row>
    <row r="104" spans="1:24" s="56" customFormat="1" ht="21">
      <c r="A104" s="20">
        <f t="shared" si="8"/>
        <v>96</v>
      </c>
      <c r="B104" s="21" t="s">
        <v>29</v>
      </c>
      <c r="C104" s="22" t="s">
        <v>70</v>
      </c>
      <c r="D104" s="23" t="s">
        <v>112</v>
      </c>
      <c r="E104" s="247" t="s">
        <v>79</v>
      </c>
      <c r="F104" s="216" t="s">
        <v>204</v>
      </c>
      <c r="G104" s="26" t="s">
        <v>331</v>
      </c>
      <c r="H104" s="225">
        <v>212574</v>
      </c>
      <c r="I104" s="28">
        <f t="shared" si="12"/>
        <v>77</v>
      </c>
      <c r="J104" s="227">
        <f t="shared" si="9"/>
        <v>8</v>
      </c>
      <c r="K104" s="227">
        <f t="shared" si="10"/>
        <v>29</v>
      </c>
      <c r="L104" s="227" t="str">
        <f t="shared" si="11"/>
        <v>77 ปี  8 เดือน  29 วัน</v>
      </c>
      <c r="M104" s="218">
        <f t="shared" si="13"/>
        <v>800</v>
      </c>
      <c r="N104" s="205"/>
      <c r="O104" s="170"/>
      <c r="P104" s="78"/>
      <c r="Q104" s="112"/>
      <c r="R104" s="154"/>
      <c r="S104" s="92"/>
      <c r="T104" s="112"/>
      <c r="U104" s="377">
        <v>86</v>
      </c>
      <c r="V104" s="94">
        <f>COUNTIF(I6:I112,"86")</f>
        <v>0</v>
      </c>
      <c r="W104" s="112"/>
      <c r="X104" s="78"/>
    </row>
    <row r="105" spans="1:24" s="56" customFormat="1" ht="21">
      <c r="A105" s="20">
        <f t="shared" si="8"/>
        <v>97</v>
      </c>
      <c r="B105" s="21" t="s">
        <v>30</v>
      </c>
      <c r="C105" s="22" t="s">
        <v>332</v>
      </c>
      <c r="D105" s="23" t="s">
        <v>184</v>
      </c>
      <c r="E105" s="247" t="s">
        <v>49</v>
      </c>
      <c r="F105" s="216" t="s">
        <v>204</v>
      </c>
      <c r="G105" s="26" t="s">
        <v>333</v>
      </c>
      <c r="H105" s="225">
        <v>223131</v>
      </c>
      <c r="I105" s="28">
        <f t="shared" si="12"/>
        <v>48</v>
      </c>
      <c r="J105" s="227">
        <f t="shared" si="9"/>
        <v>10</v>
      </c>
      <c r="K105" s="227">
        <f t="shared" si="10"/>
        <v>2</v>
      </c>
      <c r="L105" s="227" t="str">
        <f t="shared" si="11"/>
        <v>48 ปี  10 เดือน  2 วัน</v>
      </c>
      <c r="M105" s="218">
        <f t="shared" si="13"/>
        <v>800</v>
      </c>
      <c r="N105" s="205"/>
      <c r="O105" s="170"/>
      <c r="P105" s="78"/>
      <c r="Q105" s="112"/>
      <c r="R105" s="154"/>
      <c r="S105" s="92"/>
      <c r="T105" s="112"/>
      <c r="U105" s="376">
        <v>87</v>
      </c>
      <c r="V105" s="94">
        <f>COUNTIF(I6:I112,"87")</f>
        <v>1</v>
      </c>
      <c r="W105" s="112"/>
      <c r="X105" s="78"/>
    </row>
    <row r="106" spans="1:24" s="56" customFormat="1" ht="21">
      <c r="A106" s="20">
        <f t="shared" si="8"/>
        <v>98</v>
      </c>
      <c r="B106" s="21" t="s">
        <v>214</v>
      </c>
      <c r="C106" s="22" t="s">
        <v>69</v>
      </c>
      <c r="D106" s="23" t="s">
        <v>115</v>
      </c>
      <c r="E106" s="247" t="s">
        <v>66</v>
      </c>
      <c r="F106" s="216" t="s">
        <v>204</v>
      </c>
      <c r="G106" s="26" t="s">
        <v>334</v>
      </c>
      <c r="H106" s="225">
        <v>231836</v>
      </c>
      <c r="I106" s="28">
        <f t="shared" si="12"/>
        <v>25</v>
      </c>
      <c r="J106" s="227">
        <f t="shared" si="9"/>
        <v>0</v>
      </c>
      <c r="K106" s="227">
        <f t="shared" si="10"/>
        <v>2</v>
      </c>
      <c r="L106" s="227" t="str">
        <f t="shared" si="11"/>
        <v>25 ปี  0 เดือน  2 วัน</v>
      </c>
      <c r="M106" s="218">
        <f t="shared" si="13"/>
        <v>800</v>
      </c>
      <c r="N106" s="205"/>
      <c r="O106" s="170"/>
      <c r="P106" s="78"/>
      <c r="Q106" s="112"/>
      <c r="R106" s="154"/>
      <c r="S106" s="92"/>
      <c r="T106" s="112"/>
      <c r="U106" s="377">
        <v>88</v>
      </c>
      <c r="V106" s="94">
        <f>COUNTIF(I6:I112,"88")</f>
        <v>2</v>
      </c>
      <c r="W106" s="112"/>
      <c r="X106" s="78"/>
    </row>
    <row r="107" spans="1:24" s="56" customFormat="1" ht="21">
      <c r="A107" s="20">
        <f t="shared" si="8"/>
        <v>99</v>
      </c>
      <c r="B107" s="21" t="s">
        <v>29</v>
      </c>
      <c r="C107" s="22" t="s">
        <v>32</v>
      </c>
      <c r="D107" s="23" t="s">
        <v>145</v>
      </c>
      <c r="E107" s="247" t="s">
        <v>68</v>
      </c>
      <c r="F107" s="216" t="s">
        <v>204</v>
      </c>
      <c r="G107" s="26" t="s">
        <v>335</v>
      </c>
      <c r="H107" s="225">
        <v>220105</v>
      </c>
      <c r="I107" s="28">
        <f t="shared" si="12"/>
        <v>57</v>
      </c>
      <c r="J107" s="227">
        <f t="shared" si="9"/>
        <v>1</v>
      </c>
      <c r="K107" s="227">
        <f t="shared" si="10"/>
        <v>14</v>
      </c>
      <c r="L107" s="227" t="str">
        <f t="shared" si="11"/>
        <v>57 ปี  1 เดือน  14 วัน</v>
      </c>
      <c r="M107" s="218">
        <f t="shared" si="13"/>
        <v>800</v>
      </c>
      <c r="N107" s="205"/>
      <c r="O107" s="170"/>
      <c r="P107" s="78"/>
      <c r="Q107" s="112"/>
      <c r="R107" s="92"/>
      <c r="S107" s="92"/>
      <c r="T107" s="112"/>
      <c r="U107" s="376">
        <v>89</v>
      </c>
      <c r="V107" s="94">
        <f>COUNTIF(I6:I112,"89")</f>
        <v>1</v>
      </c>
      <c r="W107" s="112"/>
      <c r="X107" s="78"/>
    </row>
    <row r="108" spans="1:24" s="56" customFormat="1" ht="21">
      <c r="A108" s="20">
        <f t="shared" si="8"/>
        <v>100</v>
      </c>
      <c r="B108" s="21" t="s">
        <v>30</v>
      </c>
      <c r="C108" s="22" t="s">
        <v>62</v>
      </c>
      <c r="D108" s="23" t="s">
        <v>129</v>
      </c>
      <c r="E108" s="247" t="s">
        <v>57</v>
      </c>
      <c r="F108" s="216" t="s">
        <v>204</v>
      </c>
      <c r="G108" s="26" t="s">
        <v>336</v>
      </c>
      <c r="H108" s="225">
        <v>222945</v>
      </c>
      <c r="I108" s="28">
        <f t="shared" si="12"/>
        <v>49</v>
      </c>
      <c r="J108" s="227">
        <f t="shared" si="9"/>
        <v>4</v>
      </c>
      <c r="K108" s="227">
        <f t="shared" si="10"/>
        <v>4</v>
      </c>
      <c r="L108" s="227" t="str">
        <f t="shared" si="11"/>
        <v>49 ปี  4 เดือน  4 วัน</v>
      </c>
      <c r="M108" s="218">
        <f t="shared" si="13"/>
        <v>800</v>
      </c>
      <c r="N108" s="205"/>
      <c r="O108" s="329" t="s">
        <v>293</v>
      </c>
      <c r="P108" s="78"/>
      <c r="Q108" s="112"/>
      <c r="R108" s="112"/>
      <c r="S108" s="112"/>
      <c r="T108" s="112"/>
      <c r="U108" s="377">
        <v>90</v>
      </c>
      <c r="V108" s="94">
        <f>COUNTIF(I6:I112,"90")</f>
        <v>0</v>
      </c>
      <c r="W108" s="112"/>
      <c r="X108" s="78"/>
    </row>
    <row r="109" spans="1:24" s="56" customFormat="1" ht="21">
      <c r="A109" s="20">
        <f t="shared" si="8"/>
        <v>101</v>
      </c>
      <c r="B109" s="21" t="s">
        <v>29</v>
      </c>
      <c r="C109" s="22" t="s">
        <v>337</v>
      </c>
      <c r="D109" s="23" t="s">
        <v>127</v>
      </c>
      <c r="E109" s="247" t="s">
        <v>56</v>
      </c>
      <c r="F109" s="216" t="s">
        <v>128</v>
      </c>
      <c r="G109" s="26" t="s">
        <v>338</v>
      </c>
      <c r="H109" s="225">
        <v>231148</v>
      </c>
      <c r="I109" s="28">
        <f t="shared" si="12"/>
        <v>26</v>
      </c>
      <c r="J109" s="227">
        <f t="shared" si="9"/>
        <v>10</v>
      </c>
      <c r="K109" s="227">
        <f t="shared" si="10"/>
        <v>21</v>
      </c>
      <c r="L109" s="227" t="str">
        <f t="shared" si="11"/>
        <v>26 ปี  10 เดือน  21 วัน</v>
      </c>
      <c r="M109" s="218">
        <f t="shared" si="13"/>
        <v>800</v>
      </c>
      <c r="N109" s="205"/>
      <c r="O109" s="329" t="s">
        <v>293</v>
      </c>
      <c r="P109" s="78"/>
      <c r="Q109" s="112"/>
      <c r="R109" s="368" t="s">
        <v>29</v>
      </c>
      <c r="S109" s="369">
        <f>COUNTIF(B6:B112,"นาย")</f>
        <v>47</v>
      </c>
      <c r="T109" s="112"/>
      <c r="U109" s="376">
        <v>91</v>
      </c>
      <c r="V109" s="94">
        <f>COUNTIF(I6:I112,"91")</f>
        <v>0</v>
      </c>
      <c r="W109" s="112"/>
      <c r="X109" s="78"/>
    </row>
    <row r="110" spans="1:24" s="56" customFormat="1" ht="21">
      <c r="A110" s="20">
        <f t="shared" si="8"/>
        <v>102</v>
      </c>
      <c r="B110" s="21" t="s">
        <v>29</v>
      </c>
      <c r="C110" s="22" t="s">
        <v>34</v>
      </c>
      <c r="D110" s="23" t="s">
        <v>184</v>
      </c>
      <c r="E110" s="247" t="s">
        <v>49</v>
      </c>
      <c r="F110" s="216" t="s">
        <v>204</v>
      </c>
      <c r="G110" s="26" t="s">
        <v>339</v>
      </c>
      <c r="H110" s="225">
        <v>211667</v>
      </c>
      <c r="I110" s="28">
        <f t="shared" si="12"/>
        <v>80</v>
      </c>
      <c r="J110" s="227">
        <f t="shared" si="9"/>
        <v>2</v>
      </c>
      <c r="K110" s="227">
        <f t="shared" si="10"/>
        <v>21</v>
      </c>
      <c r="L110" s="227" t="str">
        <f t="shared" si="11"/>
        <v>80 ปี  2 เดือน  21 วัน</v>
      </c>
      <c r="M110" s="218">
        <f t="shared" si="13"/>
        <v>800</v>
      </c>
      <c r="N110" s="205"/>
      <c r="O110" s="329" t="s">
        <v>293</v>
      </c>
      <c r="P110" s="78"/>
      <c r="Q110" s="112"/>
      <c r="R110" s="368" t="s">
        <v>30</v>
      </c>
      <c r="S110" s="369">
        <f>COUNTIF(B6:B112,"นาง")</f>
        <v>22</v>
      </c>
      <c r="T110" s="112"/>
      <c r="U110" s="377">
        <v>92</v>
      </c>
      <c r="V110" s="94">
        <f>COUNTIF(I6:I112,"92")</f>
        <v>0</v>
      </c>
      <c r="W110" s="112"/>
      <c r="X110" s="78"/>
    </row>
    <row r="111" spans="1:24" s="56" customFormat="1" ht="21">
      <c r="A111" s="20">
        <f t="shared" si="8"/>
        <v>103</v>
      </c>
      <c r="B111" s="21" t="s">
        <v>29</v>
      </c>
      <c r="C111" s="22" t="s">
        <v>340</v>
      </c>
      <c r="D111" s="23" t="s">
        <v>185</v>
      </c>
      <c r="E111" s="247" t="s">
        <v>341</v>
      </c>
      <c r="F111" s="216" t="s">
        <v>204</v>
      </c>
      <c r="G111" s="26" t="s">
        <v>342</v>
      </c>
      <c r="H111" s="225">
        <v>219030</v>
      </c>
      <c r="I111" s="28">
        <f t="shared" si="12"/>
        <v>60</v>
      </c>
      <c r="J111" s="227">
        <f t="shared" si="9"/>
        <v>0</v>
      </c>
      <c r="K111" s="227">
        <f t="shared" si="10"/>
        <v>25</v>
      </c>
      <c r="L111" s="227" t="str">
        <f t="shared" si="11"/>
        <v>60 ปี  0 เดือน  25 วัน</v>
      </c>
      <c r="M111" s="218">
        <f t="shared" si="13"/>
        <v>800</v>
      </c>
      <c r="N111" s="205"/>
      <c r="O111" s="329" t="s">
        <v>293</v>
      </c>
      <c r="P111" s="78"/>
      <c r="Q111" s="112"/>
      <c r="R111" s="368" t="s">
        <v>31</v>
      </c>
      <c r="S111" s="369">
        <f>COUNTIF(B6:B112,"น.ส.")</f>
        <v>25</v>
      </c>
      <c r="T111" s="112"/>
      <c r="U111" s="376">
        <v>93</v>
      </c>
      <c r="V111" s="94">
        <f>COUNTIF(I6:I112,"93")</f>
        <v>0</v>
      </c>
      <c r="W111" s="112"/>
      <c r="X111" s="78"/>
    </row>
    <row r="112" spans="1:24" s="56" customFormat="1" ht="21">
      <c r="A112" s="20">
        <f t="shared" si="8"/>
        <v>104</v>
      </c>
      <c r="B112" s="21" t="s">
        <v>31</v>
      </c>
      <c r="C112" s="22" t="s">
        <v>33</v>
      </c>
      <c r="D112" s="23" t="s">
        <v>36</v>
      </c>
      <c r="E112" s="247" t="s">
        <v>138</v>
      </c>
      <c r="F112" s="216" t="s">
        <v>204</v>
      </c>
      <c r="G112" s="26" t="s">
        <v>343</v>
      </c>
      <c r="H112" s="225">
        <v>223205</v>
      </c>
      <c r="I112" s="28">
        <f t="shared" si="12"/>
        <v>48</v>
      </c>
      <c r="J112" s="227">
        <f t="shared" si="9"/>
        <v>7</v>
      </c>
      <c r="K112" s="227">
        <f t="shared" si="10"/>
        <v>20</v>
      </c>
      <c r="L112" s="227" t="str">
        <f t="shared" si="11"/>
        <v>48 ปี  7 เดือน  20 วัน</v>
      </c>
      <c r="M112" s="218">
        <f t="shared" si="13"/>
        <v>800</v>
      </c>
      <c r="N112" s="205"/>
      <c r="O112" s="329" t="s">
        <v>293</v>
      </c>
      <c r="P112" s="78"/>
      <c r="Q112" s="112"/>
      <c r="R112" s="368" t="s">
        <v>245</v>
      </c>
      <c r="S112" s="369">
        <f>COUNTIF(B6:B112,"ด.ญ.")</f>
        <v>5</v>
      </c>
      <c r="T112" s="112"/>
      <c r="U112" s="377">
        <v>94</v>
      </c>
      <c r="V112" s="94">
        <f>COUNTIF(I6:I112,"94")</f>
        <v>0</v>
      </c>
      <c r="W112" s="112"/>
      <c r="X112" s="78"/>
    </row>
    <row r="113" spans="1:24" s="56" customFormat="1" ht="26.25">
      <c r="A113" s="340"/>
      <c r="B113" s="58"/>
      <c r="C113" s="58"/>
      <c r="D113" s="58"/>
      <c r="E113" s="59"/>
      <c r="F113" s="60"/>
      <c r="G113" s="61" t="str">
        <f>"รวมผู้สูงอายุจำนวน  "&amp;A112&amp;"  ราย   เป็นเงินทั้งสิ้น   "</f>
        <v>รวมผู้สูงอายุจำนวน  104  ราย   เป็นเงินทั้งสิ้น   </v>
      </c>
      <c r="H113" s="62"/>
      <c r="I113" s="63"/>
      <c r="J113" s="91"/>
      <c r="K113" s="91"/>
      <c r="L113" s="91"/>
      <c r="M113" s="64">
        <f>SUM(M6:M112)</f>
        <v>83200</v>
      </c>
      <c r="N113" s="65"/>
      <c r="O113" s="270"/>
      <c r="P113" s="78"/>
      <c r="Q113" s="112"/>
      <c r="R113" s="368" t="s">
        <v>214</v>
      </c>
      <c r="S113" s="369">
        <f>COUNTIF(B6:B112,"ด.ช.")</f>
        <v>8</v>
      </c>
      <c r="T113" s="112"/>
      <c r="U113" s="376">
        <v>95</v>
      </c>
      <c r="V113" s="94">
        <f>COUNTIF(I6:I112,"95")</f>
        <v>0</v>
      </c>
      <c r="W113" s="112"/>
      <c r="X113" s="78"/>
    </row>
    <row r="114" spans="1:24" s="56" customFormat="1" ht="26.25">
      <c r="A114" s="333"/>
      <c r="B114" s="66"/>
      <c r="C114" s="66"/>
      <c r="D114" s="66"/>
      <c r="E114" s="67"/>
      <c r="F114" s="68"/>
      <c r="G114" s="69"/>
      <c r="H114" s="62"/>
      <c r="I114" s="63"/>
      <c r="J114" s="91"/>
      <c r="K114" s="91"/>
      <c r="L114" s="91"/>
      <c r="M114" s="70" t="str">
        <f>"("&amp;_xlfn.BAHTTEXT(M113)&amp;")"</f>
        <v>(แปดหมื่นสามพันสองร้อยบาทถ้วน)</v>
      </c>
      <c r="N114" s="71"/>
      <c r="O114" s="72"/>
      <c r="P114" s="78"/>
      <c r="Q114" s="112"/>
      <c r="R114" s="368" t="s">
        <v>25</v>
      </c>
      <c r="S114" s="369">
        <f>SUM(S109:S113)</f>
        <v>107</v>
      </c>
      <c r="T114" s="112"/>
      <c r="U114" s="377">
        <v>96</v>
      </c>
      <c r="V114" s="94">
        <f>COUNTIF(I6:I112,"96")</f>
        <v>0</v>
      </c>
      <c r="W114" s="112"/>
      <c r="X114" s="78"/>
    </row>
    <row r="115" spans="1:24" s="56" customFormat="1" ht="23.25">
      <c r="A115" s="332"/>
      <c r="P115" s="78"/>
      <c r="Q115" s="112"/>
      <c r="R115" s="154"/>
      <c r="S115" s="92"/>
      <c r="T115" s="112"/>
      <c r="U115" s="376">
        <v>97</v>
      </c>
      <c r="V115" s="94">
        <f>COUNTIF(I6:I112,"97")</f>
        <v>0</v>
      </c>
      <c r="W115" s="112"/>
      <c r="X115" s="78"/>
    </row>
    <row r="116" spans="1:24" s="56" customFormat="1" ht="23.25">
      <c r="A116" s="332"/>
      <c r="P116" s="78"/>
      <c r="Q116" s="112"/>
      <c r="R116" s="154"/>
      <c r="S116" s="92"/>
      <c r="T116" s="112"/>
      <c r="U116" s="377">
        <v>98</v>
      </c>
      <c r="V116" s="94">
        <f>COUNTIF(I6:I112,"98")</f>
        <v>0</v>
      </c>
      <c r="W116" s="112"/>
      <c r="X116" s="78"/>
    </row>
    <row r="117" spans="1:24" s="56" customFormat="1" ht="23.25">
      <c r="A117" s="332"/>
      <c r="P117" s="78"/>
      <c r="Q117" s="112"/>
      <c r="R117" s="154"/>
      <c r="S117" s="92"/>
      <c r="T117" s="112"/>
      <c r="U117" s="376">
        <v>99</v>
      </c>
      <c r="V117" s="94">
        <f>COUNTIF(I6:I112,"99")</f>
        <v>0</v>
      </c>
      <c r="W117" s="112"/>
      <c r="X117" s="78"/>
    </row>
    <row r="118" spans="1:24" s="56" customFormat="1" ht="24">
      <c r="A118" s="73"/>
      <c r="B118" s="42"/>
      <c r="C118" s="42"/>
      <c r="D118" s="42"/>
      <c r="E118" s="47"/>
      <c r="F118" s="48"/>
      <c r="G118" s="49"/>
      <c r="H118" s="50"/>
      <c r="I118" s="51"/>
      <c r="J118" s="309"/>
      <c r="K118" s="306" t="s">
        <v>347</v>
      </c>
      <c r="L118" s="307"/>
      <c r="M118" s="308"/>
      <c r="N118" s="308"/>
      <c r="O118" s="132"/>
      <c r="P118" s="78"/>
      <c r="Q118" s="112"/>
      <c r="R118" s="154"/>
      <c r="S118" s="92"/>
      <c r="T118" s="112"/>
      <c r="U118" s="377">
        <v>100</v>
      </c>
      <c r="V118" s="94">
        <f>COUNTIF(I6:I112,"100")</f>
        <v>0</v>
      </c>
      <c r="W118" s="112"/>
      <c r="X118" s="78"/>
    </row>
    <row r="119" spans="2:24" s="56" customFormat="1" ht="24.75" thickBot="1">
      <c r="B119" s="42"/>
      <c r="C119" s="42"/>
      <c r="D119" s="42"/>
      <c r="E119" s="47"/>
      <c r="F119" s="48"/>
      <c r="G119" s="49"/>
      <c r="H119" s="50"/>
      <c r="I119" s="51"/>
      <c r="J119" s="53"/>
      <c r="K119" s="306" t="s">
        <v>348</v>
      </c>
      <c r="L119" s="307"/>
      <c r="M119" s="308"/>
      <c r="N119" s="308"/>
      <c r="O119" s="174"/>
      <c r="P119" s="79"/>
      <c r="Q119" s="97"/>
      <c r="R119" s="154"/>
      <c r="S119" s="92"/>
      <c r="T119" s="112"/>
      <c r="U119" s="380" t="s">
        <v>25</v>
      </c>
      <c r="V119" s="381">
        <f>SUM(V19:V118)</f>
        <v>104</v>
      </c>
      <c r="W119" s="97"/>
      <c r="X119" s="79"/>
    </row>
    <row r="120" spans="1:24" s="56" customFormat="1" ht="27" thickTop="1">
      <c r="A120" s="84"/>
      <c r="B120" s="42"/>
      <c r="C120" s="42"/>
      <c r="D120" s="42"/>
      <c r="E120" s="47"/>
      <c r="F120" s="48"/>
      <c r="G120" s="49"/>
      <c r="H120" s="50"/>
      <c r="I120" s="51"/>
      <c r="J120" s="393" t="s">
        <v>350</v>
      </c>
      <c r="K120" s="393"/>
      <c r="L120" s="393"/>
      <c r="M120" s="393"/>
      <c r="N120" s="393"/>
      <c r="O120" s="393"/>
      <c r="P120" s="133"/>
      <c r="Q120" s="97"/>
      <c r="R120" s="154"/>
      <c r="S120" s="92"/>
      <c r="T120" s="112"/>
      <c r="U120" s="112"/>
      <c r="V120" s="112"/>
      <c r="W120" s="97"/>
      <c r="X120" s="78"/>
    </row>
    <row r="121" spans="10:24" ht="23.25">
      <c r="J121" s="53"/>
      <c r="K121" s="302"/>
      <c r="L121" s="303"/>
      <c r="M121" s="304"/>
      <c r="N121" s="305"/>
      <c r="O121" s="166"/>
      <c r="P121" s="177"/>
      <c r="R121" s="154"/>
      <c r="S121" s="92"/>
      <c r="T121" s="112"/>
      <c r="U121" s="112"/>
      <c r="V121" s="112"/>
      <c r="X121" s="56"/>
    </row>
    <row r="122" spans="5:24" ht="23.25"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67"/>
      <c r="Q122" s="112"/>
      <c r="R122" s="154"/>
      <c r="S122" s="92"/>
      <c r="T122" s="112"/>
      <c r="U122" s="112"/>
      <c r="V122" s="112"/>
      <c r="W122" s="112"/>
      <c r="X122" s="56"/>
    </row>
    <row r="123" spans="1:23" s="56" customFormat="1" ht="26.25">
      <c r="A123" s="84"/>
      <c r="P123" s="169"/>
      <c r="Q123" s="97"/>
      <c r="R123" s="154"/>
      <c r="S123" s="92"/>
      <c r="T123" s="112"/>
      <c r="U123" s="112"/>
      <c r="V123" s="112"/>
      <c r="W123" s="97"/>
    </row>
    <row r="124" spans="16:24" ht="26.25">
      <c r="P124" s="80"/>
      <c r="R124" s="92"/>
      <c r="S124" s="92"/>
      <c r="T124" s="112"/>
      <c r="U124" s="112"/>
      <c r="V124" s="112"/>
      <c r="X124" s="80"/>
    </row>
    <row r="125" spans="16:24" ht="26.25">
      <c r="P125" s="80"/>
      <c r="X125" s="80"/>
    </row>
    <row r="126" spans="16:24" ht="26.25">
      <c r="P126" s="80"/>
      <c r="X126" s="80"/>
    </row>
    <row r="127" spans="3:24" ht="39.75"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80"/>
      <c r="X127" s="80"/>
    </row>
    <row r="128" spans="16:24" ht="26.25">
      <c r="P128" s="80"/>
      <c r="X128" s="80"/>
    </row>
    <row r="130" spans="18:23" ht="26.25">
      <c r="R130" s="154"/>
      <c r="S130" s="92"/>
      <c r="T130" s="112"/>
      <c r="U130" s="112"/>
      <c r="V130" s="112"/>
      <c r="W130" s="112"/>
    </row>
    <row r="131" spans="18:23" ht="26.25">
      <c r="R131" s="154"/>
      <c r="S131" s="92"/>
      <c r="T131" s="112"/>
      <c r="U131" s="112"/>
      <c r="V131" s="112"/>
      <c r="W131" s="112"/>
    </row>
    <row r="132" spans="16:24" ht="26.25">
      <c r="P132" s="56"/>
      <c r="R132" s="154"/>
      <c r="S132" s="92"/>
      <c r="T132" s="112"/>
      <c r="U132" s="112"/>
      <c r="V132" s="112"/>
      <c r="W132" s="112"/>
      <c r="X132" s="56"/>
    </row>
    <row r="133" spans="18:23" ht="26.25">
      <c r="R133" s="154"/>
      <c r="S133" s="92"/>
      <c r="T133" s="112"/>
      <c r="U133" s="112"/>
      <c r="V133" s="112"/>
      <c r="W133" s="112"/>
    </row>
    <row r="134" spans="17:23" ht="26.25">
      <c r="Q134" s="112"/>
      <c r="R134" s="154"/>
      <c r="S134" s="92"/>
      <c r="T134" s="112"/>
      <c r="U134" s="112"/>
      <c r="V134" s="112"/>
      <c r="W134" s="112"/>
    </row>
    <row r="135" spans="18:23" ht="26.25">
      <c r="R135" s="154"/>
      <c r="S135" s="92"/>
      <c r="T135" s="112"/>
      <c r="U135" s="112"/>
      <c r="V135" s="112"/>
      <c r="W135" s="112"/>
    </row>
    <row r="136" spans="18:23" ht="26.25">
      <c r="R136" s="154"/>
      <c r="S136" s="92"/>
      <c r="T136" s="112"/>
      <c r="U136" s="112"/>
      <c r="V136" s="112"/>
      <c r="W136" s="112"/>
    </row>
    <row r="137" spans="18:23" ht="26.25">
      <c r="R137" s="154"/>
      <c r="S137" s="92"/>
      <c r="T137" s="112"/>
      <c r="U137" s="112"/>
      <c r="V137" s="112"/>
      <c r="W137" s="112"/>
    </row>
    <row r="138" spans="18:23" ht="26.25">
      <c r="R138" s="154"/>
      <c r="S138" s="92"/>
      <c r="T138" s="112"/>
      <c r="U138" s="112"/>
      <c r="V138" s="112"/>
      <c r="W138" s="112"/>
    </row>
    <row r="139" spans="1:24" s="56" customFormat="1" ht="26.25">
      <c r="A139" s="84"/>
      <c r="B139" s="42"/>
      <c r="C139" s="42"/>
      <c r="D139" s="42"/>
      <c r="E139" s="47"/>
      <c r="F139" s="48"/>
      <c r="G139" s="49"/>
      <c r="H139" s="50"/>
      <c r="I139" s="51"/>
      <c r="J139" s="94"/>
      <c r="K139" s="94"/>
      <c r="L139" s="94"/>
      <c r="M139" s="52"/>
      <c r="N139" s="85"/>
      <c r="O139" s="262"/>
      <c r="P139" s="42"/>
      <c r="Q139" s="97"/>
      <c r="R139" s="154"/>
      <c r="S139" s="92"/>
      <c r="T139" s="112"/>
      <c r="U139" s="112"/>
      <c r="V139" s="112"/>
      <c r="W139" s="112"/>
      <c r="X139" s="42"/>
    </row>
    <row r="140" spans="1:24" s="56" customFormat="1" ht="26.25">
      <c r="A140" s="84"/>
      <c r="B140" s="42"/>
      <c r="C140" s="42"/>
      <c r="D140" s="42"/>
      <c r="E140" s="47"/>
      <c r="F140" s="48"/>
      <c r="G140" s="49"/>
      <c r="H140" s="50"/>
      <c r="I140" s="51"/>
      <c r="J140" s="94"/>
      <c r="K140" s="94"/>
      <c r="L140" s="94"/>
      <c r="M140" s="52"/>
      <c r="N140" s="85"/>
      <c r="O140" s="262"/>
      <c r="P140" s="42"/>
      <c r="Q140" s="97"/>
      <c r="R140" s="154"/>
      <c r="S140" s="92"/>
      <c r="T140" s="112"/>
      <c r="U140" s="112"/>
      <c r="V140" s="112"/>
      <c r="W140" s="112"/>
      <c r="X140" s="42"/>
    </row>
    <row r="141" spans="1:24" s="56" customFormat="1" ht="26.25">
      <c r="A141" s="84"/>
      <c r="B141" s="42"/>
      <c r="C141" s="42"/>
      <c r="D141" s="42"/>
      <c r="E141" s="47"/>
      <c r="F141" s="48"/>
      <c r="G141" s="49"/>
      <c r="H141" s="50"/>
      <c r="I141" s="51"/>
      <c r="J141" s="94"/>
      <c r="K141" s="94"/>
      <c r="L141" s="94"/>
      <c r="M141" s="52"/>
      <c r="N141" s="85"/>
      <c r="O141" s="262"/>
      <c r="P141" s="42"/>
      <c r="Q141" s="97"/>
      <c r="R141" s="154"/>
      <c r="S141" s="92"/>
      <c r="T141" s="112"/>
      <c r="U141" s="112"/>
      <c r="V141" s="112"/>
      <c r="W141" s="112"/>
      <c r="X141" s="42"/>
    </row>
    <row r="142" spans="1:24" s="56" customFormat="1" ht="26.25">
      <c r="A142" s="84"/>
      <c r="B142" s="42"/>
      <c r="C142" s="42"/>
      <c r="D142" s="42"/>
      <c r="E142" s="47"/>
      <c r="F142" s="48"/>
      <c r="G142" s="49"/>
      <c r="H142" s="50"/>
      <c r="I142" s="51"/>
      <c r="J142" s="94"/>
      <c r="K142" s="94"/>
      <c r="L142" s="94"/>
      <c r="M142" s="52"/>
      <c r="N142" s="85"/>
      <c r="O142" s="262"/>
      <c r="P142" s="42"/>
      <c r="Q142" s="112"/>
      <c r="R142" s="154"/>
      <c r="S142" s="92"/>
      <c r="T142" s="112"/>
      <c r="U142" s="112"/>
      <c r="V142" s="112"/>
      <c r="W142" s="112"/>
      <c r="X142" s="42"/>
    </row>
    <row r="143" spans="1:24" s="56" customFormat="1" ht="26.25">
      <c r="A143" s="84"/>
      <c r="B143" s="42"/>
      <c r="C143" s="42"/>
      <c r="D143" s="42"/>
      <c r="E143" s="47"/>
      <c r="F143" s="48"/>
      <c r="G143" s="49"/>
      <c r="H143" s="50"/>
      <c r="I143" s="51"/>
      <c r="J143" s="94"/>
      <c r="K143" s="94"/>
      <c r="L143" s="94"/>
      <c r="M143" s="52"/>
      <c r="N143" s="85"/>
      <c r="O143" s="262"/>
      <c r="P143" s="42"/>
      <c r="Q143" s="97"/>
      <c r="R143" s="154"/>
      <c r="S143" s="92"/>
      <c r="T143" s="112"/>
      <c r="U143" s="112"/>
      <c r="V143" s="112"/>
      <c r="W143" s="112"/>
      <c r="X143" s="42"/>
    </row>
    <row r="144" spans="1:24" s="80" customFormat="1" ht="26.25">
      <c r="A144" s="84"/>
      <c r="B144" s="42"/>
      <c r="C144" s="42"/>
      <c r="D144" s="42"/>
      <c r="E144" s="47"/>
      <c r="F144" s="48"/>
      <c r="G144" s="49"/>
      <c r="H144" s="50"/>
      <c r="I144" s="51"/>
      <c r="J144" s="94"/>
      <c r="K144" s="94"/>
      <c r="L144" s="94"/>
      <c r="M144" s="52"/>
      <c r="N144" s="85"/>
      <c r="O144" s="262"/>
      <c r="P144" s="56"/>
      <c r="Q144" s="97"/>
      <c r="R144" s="154"/>
      <c r="S144" s="92"/>
      <c r="T144" s="112"/>
      <c r="U144" s="112"/>
      <c r="V144" s="112"/>
      <c r="W144" s="112"/>
      <c r="X144" s="56"/>
    </row>
    <row r="145" spans="1:24" s="80" customFormat="1" ht="26.25">
      <c r="A145" s="84"/>
      <c r="B145" s="42"/>
      <c r="C145" s="42"/>
      <c r="D145" s="42"/>
      <c r="E145" s="47"/>
      <c r="F145" s="48"/>
      <c r="G145" s="49"/>
      <c r="H145" s="50"/>
      <c r="I145" s="51"/>
      <c r="J145" s="94"/>
      <c r="K145" s="94"/>
      <c r="L145" s="94"/>
      <c r="M145" s="52"/>
      <c r="N145" s="85"/>
      <c r="O145" s="262"/>
      <c r="P145" s="42"/>
      <c r="Q145" s="97"/>
      <c r="R145" s="154"/>
      <c r="S145" s="92"/>
      <c r="T145" s="112"/>
      <c r="U145" s="112"/>
      <c r="V145" s="112"/>
      <c r="W145" s="112"/>
      <c r="X145" s="42"/>
    </row>
    <row r="146" spans="1:24" s="80" customFormat="1" ht="26.25">
      <c r="A146" s="84"/>
      <c r="B146" s="42"/>
      <c r="C146" s="42"/>
      <c r="D146" s="42"/>
      <c r="E146" s="47"/>
      <c r="F146" s="48"/>
      <c r="G146" s="49"/>
      <c r="H146" s="50"/>
      <c r="I146" s="51"/>
      <c r="J146" s="94"/>
      <c r="K146" s="94"/>
      <c r="L146" s="94"/>
      <c r="M146" s="52"/>
      <c r="N146" s="85"/>
      <c r="O146" s="262"/>
      <c r="P146" s="42"/>
      <c r="Q146" s="97"/>
      <c r="R146" s="154"/>
      <c r="S146" s="92"/>
      <c r="T146" s="112"/>
      <c r="U146" s="112"/>
      <c r="V146" s="112"/>
      <c r="W146" s="112"/>
      <c r="X146" s="42"/>
    </row>
    <row r="147" spans="1:24" s="80" customFormat="1" ht="26.25">
      <c r="A147" s="84"/>
      <c r="B147" s="42"/>
      <c r="C147" s="42"/>
      <c r="D147" s="42"/>
      <c r="E147" s="47"/>
      <c r="F147" s="48"/>
      <c r="G147" s="49"/>
      <c r="H147" s="50"/>
      <c r="I147" s="51"/>
      <c r="J147" s="94"/>
      <c r="K147" s="94"/>
      <c r="L147" s="94"/>
      <c r="M147" s="52"/>
      <c r="N147" s="85"/>
      <c r="O147" s="262"/>
      <c r="P147" s="42"/>
      <c r="Q147" s="97"/>
      <c r="R147" s="154"/>
      <c r="S147" s="92"/>
      <c r="T147" s="112"/>
      <c r="U147" s="112"/>
      <c r="V147" s="112"/>
      <c r="W147" s="112"/>
      <c r="X147" s="42"/>
    </row>
    <row r="148" spans="1:24" s="80" customFormat="1" ht="26.25">
      <c r="A148" s="84"/>
      <c r="B148" s="42"/>
      <c r="C148" s="42"/>
      <c r="D148" s="42"/>
      <c r="E148" s="47"/>
      <c r="F148" s="48"/>
      <c r="G148" s="49"/>
      <c r="H148" s="50"/>
      <c r="I148" s="51"/>
      <c r="J148" s="94"/>
      <c r="K148" s="94"/>
      <c r="L148" s="94"/>
      <c r="M148" s="52"/>
      <c r="N148" s="85"/>
      <c r="O148" s="262"/>
      <c r="P148" s="42"/>
      <c r="Q148" s="112"/>
      <c r="R148" s="154"/>
      <c r="S148" s="92"/>
      <c r="T148" s="112"/>
      <c r="U148" s="112"/>
      <c r="V148" s="112"/>
      <c r="W148" s="112"/>
      <c r="X148" s="42"/>
    </row>
    <row r="149" spans="18:23" ht="26.25">
      <c r="R149" s="154"/>
      <c r="S149" s="92"/>
      <c r="T149" s="112"/>
      <c r="U149" s="112"/>
      <c r="V149" s="112"/>
      <c r="W149" s="112"/>
    </row>
    <row r="150" spans="18:23" ht="26.25">
      <c r="R150" s="154"/>
      <c r="S150" s="92"/>
      <c r="T150" s="112"/>
      <c r="U150" s="112"/>
      <c r="V150" s="112"/>
      <c r="W150" s="112"/>
    </row>
    <row r="151" spans="17:23" ht="26.25">
      <c r="Q151" s="112"/>
      <c r="R151" s="154"/>
      <c r="S151" s="92"/>
      <c r="T151" s="112"/>
      <c r="U151" s="112"/>
      <c r="V151" s="112"/>
      <c r="W151" s="112"/>
    </row>
    <row r="152" spans="18:23" ht="26.25">
      <c r="R152" s="154"/>
      <c r="S152" s="92"/>
      <c r="T152" s="112"/>
      <c r="U152" s="112"/>
      <c r="V152" s="112"/>
      <c r="W152" s="112"/>
    </row>
    <row r="153" spans="1:23" s="56" customFormat="1" ht="26.25">
      <c r="A153" s="84"/>
      <c r="B153" s="42"/>
      <c r="C153" s="42"/>
      <c r="D153" s="42"/>
      <c r="E153" s="47"/>
      <c r="F153" s="48"/>
      <c r="G153" s="49"/>
      <c r="H153" s="50"/>
      <c r="I153" s="51"/>
      <c r="J153" s="94"/>
      <c r="K153" s="94"/>
      <c r="L153" s="94"/>
      <c r="M153" s="52"/>
      <c r="N153" s="85"/>
      <c r="O153" s="262"/>
      <c r="Q153" s="97"/>
      <c r="R153" s="154"/>
      <c r="S153" s="92"/>
      <c r="T153" s="112"/>
      <c r="U153" s="112"/>
      <c r="V153" s="112"/>
      <c r="W153" s="112"/>
    </row>
    <row r="154" spans="18:23" ht="26.25">
      <c r="R154" s="154"/>
      <c r="S154" s="92"/>
      <c r="T154" s="112"/>
      <c r="U154" s="112"/>
      <c r="V154" s="112"/>
      <c r="W154" s="112"/>
    </row>
    <row r="155" spans="18:23" ht="26.25">
      <c r="R155" s="154"/>
      <c r="S155" s="92"/>
      <c r="T155" s="112"/>
      <c r="U155" s="112"/>
      <c r="V155" s="112"/>
      <c r="W155" s="112"/>
    </row>
    <row r="156" spans="18:23" ht="26.25">
      <c r="R156" s="154"/>
      <c r="S156" s="92"/>
      <c r="T156" s="112"/>
      <c r="U156" s="112"/>
      <c r="V156" s="112"/>
      <c r="W156" s="112"/>
    </row>
    <row r="157" spans="17:23" ht="26.25">
      <c r="Q157" s="112"/>
      <c r="R157" s="112"/>
      <c r="S157" s="112"/>
      <c r="T157" s="112"/>
      <c r="U157" s="112"/>
      <c r="V157" s="112"/>
      <c r="W157" s="112"/>
    </row>
    <row r="158" spans="17:23" ht="26.25">
      <c r="Q158" s="112"/>
      <c r="R158" s="112"/>
      <c r="S158" s="112"/>
      <c r="T158" s="112"/>
      <c r="U158" s="112"/>
      <c r="V158" s="112"/>
      <c r="W158" s="112"/>
    </row>
    <row r="159" spans="17:23" ht="26.25">
      <c r="Q159" s="112"/>
      <c r="R159" s="112"/>
      <c r="S159" s="112"/>
      <c r="T159" s="112"/>
      <c r="U159" s="112"/>
      <c r="V159" s="112"/>
      <c r="W159" s="112"/>
    </row>
    <row r="160" spans="17:23" ht="26.25">
      <c r="Q160" s="112"/>
      <c r="R160" s="112"/>
      <c r="S160" s="112"/>
      <c r="T160" s="112"/>
      <c r="U160" s="112"/>
      <c r="V160" s="112"/>
      <c r="W160" s="112"/>
    </row>
    <row r="161" spans="17:23" ht="26.25">
      <c r="Q161" s="112"/>
      <c r="R161" s="112"/>
      <c r="S161" s="112"/>
      <c r="T161" s="112"/>
      <c r="U161" s="112"/>
      <c r="V161" s="112"/>
      <c r="W161" s="112"/>
    </row>
    <row r="162" spans="1:23" s="56" customFormat="1" ht="26.25">
      <c r="A162" s="84"/>
      <c r="B162" s="42"/>
      <c r="C162" s="42"/>
      <c r="D162" s="42"/>
      <c r="E162" s="47"/>
      <c r="F162" s="48"/>
      <c r="G162" s="49"/>
      <c r="H162" s="50"/>
      <c r="I162" s="51"/>
      <c r="J162" s="94"/>
      <c r="K162" s="94"/>
      <c r="L162" s="94"/>
      <c r="M162" s="52"/>
      <c r="N162" s="85"/>
      <c r="O162" s="262"/>
      <c r="Q162" s="112"/>
      <c r="R162" s="92"/>
      <c r="S162" s="92"/>
      <c r="T162" s="112"/>
      <c r="U162" s="93"/>
      <c r="V162" s="93"/>
      <c r="W162" s="112"/>
    </row>
    <row r="163" spans="1:23" s="56" customFormat="1" ht="26.25">
      <c r="A163" s="84"/>
      <c r="B163" s="42"/>
      <c r="C163" s="42"/>
      <c r="D163" s="42"/>
      <c r="E163" s="47"/>
      <c r="F163" s="48"/>
      <c r="G163" s="49"/>
      <c r="H163" s="50"/>
      <c r="I163" s="51"/>
      <c r="J163" s="94"/>
      <c r="K163" s="94"/>
      <c r="L163" s="94"/>
      <c r="M163" s="52"/>
      <c r="N163" s="85"/>
      <c r="O163" s="262"/>
      <c r="Q163" s="97"/>
      <c r="R163" s="154"/>
      <c r="S163" s="92"/>
      <c r="T163" s="112"/>
      <c r="U163" s="157"/>
      <c r="V163" s="92"/>
      <c r="W163" s="112"/>
    </row>
    <row r="164" spans="16:24" ht="26.25">
      <c r="P164" s="56"/>
      <c r="R164" s="154"/>
      <c r="S164" s="92"/>
      <c r="T164" s="112"/>
      <c r="U164" s="157"/>
      <c r="V164" s="92"/>
      <c r="W164" s="112"/>
      <c r="X164" s="56"/>
    </row>
    <row r="165" spans="16:24" ht="26.25">
      <c r="P165" s="56"/>
      <c r="R165" s="154"/>
      <c r="S165" s="92"/>
      <c r="T165" s="112"/>
      <c r="U165" s="157"/>
      <c r="V165" s="92"/>
      <c r="W165" s="112"/>
      <c r="X165" s="56"/>
    </row>
    <row r="166" spans="16:24" ht="26.25">
      <c r="P166" s="56"/>
      <c r="R166" s="154"/>
      <c r="S166" s="92"/>
      <c r="T166" s="112"/>
      <c r="U166" s="157"/>
      <c r="V166" s="92"/>
      <c r="W166" s="112"/>
      <c r="X166" s="56"/>
    </row>
    <row r="167" spans="16:24" ht="26.25">
      <c r="P167" s="56"/>
      <c r="R167" s="154"/>
      <c r="S167" s="92"/>
      <c r="T167" s="112"/>
      <c r="U167" s="93"/>
      <c r="V167" s="93"/>
      <c r="W167" s="112"/>
      <c r="X167" s="56"/>
    </row>
    <row r="168" spans="16:24" ht="26.25">
      <c r="P168" s="56"/>
      <c r="R168" s="154"/>
      <c r="S168" s="92"/>
      <c r="T168" s="112"/>
      <c r="U168" s="112"/>
      <c r="V168" s="158"/>
      <c r="W168" s="112"/>
      <c r="X168" s="56"/>
    </row>
    <row r="169" spans="16:24" ht="26.25">
      <c r="P169" s="56"/>
      <c r="Q169" s="134"/>
      <c r="R169" s="154"/>
      <c r="S169" s="92"/>
      <c r="T169" s="112"/>
      <c r="U169" s="112"/>
      <c r="V169" s="112"/>
      <c r="W169" s="112"/>
      <c r="X169" s="56"/>
    </row>
    <row r="170" spans="16:24" ht="26.25">
      <c r="P170" s="56"/>
      <c r="R170" s="154"/>
      <c r="S170" s="92"/>
      <c r="T170" s="112"/>
      <c r="U170" s="112"/>
      <c r="V170" s="112"/>
      <c r="W170" s="112"/>
      <c r="X170" s="56"/>
    </row>
    <row r="171" spans="16:24" ht="26.25">
      <c r="P171" s="56"/>
      <c r="R171" s="154"/>
      <c r="S171" s="92"/>
      <c r="T171" s="112"/>
      <c r="U171" s="112"/>
      <c r="V171" s="112"/>
      <c r="W171" s="112"/>
      <c r="X171" s="56"/>
    </row>
    <row r="172" spans="18:24" ht="26.25">
      <c r="R172" s="154"/>
      <c r="S172" s="92"/>
      <c r="T172" s="112"/>
      <c r="U172" s="112"/>
      <c r="V172" s="112"/>
      <c r="W172" s="112"/>
      <c r="X172" s="56"/>
    </row>
    <row r="173" spans="1:23" s="56" customFormat="1" ht="26.25">
      <c r="A173" s="84"/>
      <c r="B173" s="42"/>
      <c r="C173" s="42"/>
      <c r="D173" s="42"/>
      <c r="E173" s="47"/>
      <c r="F173" s="48"/>
      <c r="G173" s="49"/>
      <c r="H173" s="50"/>
      <c r="I173" s="51"/>
      <c r="J173" s="94"/>
      <c r="K173" s="94"/>
      <c r="L173" s="94"/>
      <c r="M173" s="52"/>
      <c r="N173" s="85"/>
      <c r="O173" s="262"/>
      <c r="P173" s="42"/>
      <c r="Q173" s="97"/>
      <c r="R173" s="154"/>
      <c r="S173" s="92"/>
      <c r="T173" s="112"/>
      <c r="U173" s="112"/>
      <c r="V173" s="112"/>
      <c r="W173" s="112"/>
    </row>
    <row r="174" spans="1:23" s="56" customFormat="1" ht="26.25">
      <c r="A174" s="84"/>
      <c r="B174" s="42"/>
      <c r="C174" s="42"/>
      <c r="D174" s="42"/>
      <c r="E174" s="47"/>
      <c r="F174" s="48"/>
      <c r="G174" s="49"/>
      <c r="H174" s="50"/>
      <c r="I174" s="51"/>
      <c r="J174" s="94"/>
      <c r="K174" s="94"/>
      <c r="L174" s="94"/>
      <c r="M174" s="52"/>
      <c r="N174" s="85"/>
      <c r="O174" s="262"/>
      <c r="P174" s="42"/>
      <c r="Q174" s="97"/>
      <c r="R174" s="154"/>
      <c r="S174" s="92"/>
      <c r="T174" s="112"/>
      <c r="U174" s="112"/>
      <c r="V174" s="112"/>
      <c r="W174" s="112"/>
    </row>
    <row r="175" spans="1:23" s="56" customFormat="1" ht="26.25">
      <c r="A175" s="84"/>
      <c r="B175" s="42"/>
      <c r="C175" s="42"/>
      <c r="D175" s="42"/>
      <c r="E175" s="47"/>
      <c r="F175" s="48"/>
      <c r="G175" s="49"/>
      <c r="H175" s="50"/>
      <c r="I175" s="51"/>
      <c r="J175" s="94"/>
      <c r="K175" s="94"/>
      <c r="L175" s="94"/>
      <c r="M175" s="52"/>
      <c r="N175" s="85"/>
      <c r="O175" s="262"/>
      <c r="Q175" s="97"/>
      <c r="R175" s="154"/>
      <c r="S175" s="92"/>
      <c r="T175" s="112"/>
      <c r="U175" s="112"/>
      <c r="V175" s="112"/>
      <c r="W175" s="112"/>
    </row>
    <row r="176" spans="1:24" s="56" customFormat="1" ht="26.25">
      <c r="A176" s="84"/>
      <c r="B176" s="42"/>
      <c r="C176" s="42"/>
      <c r="D176" s="42"/>
      <c r="E176" s="47"/>
      <c r="F176" s="48"/>
      <c r="G176" s="49"/>
      <c r="H176" s="50"/>
      <c r="I176" s="51"/>
      <c r="J176" s="94"/>
      <c r="K176" s="94"/>
      <c r="L176" s="94"/>
      <c r="M176" s="52"/>
      <c r="N176" s="85"/>
      <c r="O176" s="262"/>
      <c r="P176" s="42"/>
      <c r="Q176" s="112"/>
      <c r="R176" s="154"/>
      <c r="S176" s="92"/>
      <c r="T176" s="112"/>
      <c r="U176" s="112"/>
      <c r="V176" s="112"/>
      <c r="W176" s="112"/>
      <c r="X176" s="42"/>
    </row>
    <row r="177" spans="1:24" s="56" customFormat="1" ht="26.25">
      <c r="A177" s="84"/>
      <c r="B177" s="42"/>
      <c r="C177" s="42"/>
      <c r="D177" s="42"/>
      <c r="E177" s="47"/>
      <c r="F177" s="48"/>
      <c r="G177" s="49"/>
      <c r="H177" s="50"/>
      <c r="I177" s="51"/>
      <c r="J177" s="94"/>
      <c r="K177" s="94"/>
      <c r="L177" s="94"/>
      <c r="M177" s="52"/>
      <c r="N177" s="85"/>
      <c r="O177" s="262"/>
      <c r="P177" s="42"/>
      <c r="Q177" s="97"/>
      <c r="R177" s="154"/>
      <c r="S177" s="92"/>
      <c r="T177" s="112"/>
      <c r="U177" s="112"/>
      <c r="V177" s="112"/>
      <c r="W177" s="112"/>
      <c r="X177" s="42"/>
    </row>
    <row r="178" spans="1:24" s="80" customFormat="1" ht="26.25">
      <c r="A178" s="84"/>
      <c r="B178" s="42"/>
      <c r="C178" s="42"/>
      <c r="D178" s="42"/>
      <c r="E178" s="47"/>
      <c r="F178" s="48"/>
      <c r="G178" s="49"/>
      <c r="H178" s="50"/>
      <c r="I178" s="51"/>
      <c r="J178" s="94"/>
      <c r="K178" s="94"/>
      <c r="L178" s="94"/>
      <c r="M178" s="52"/>
      <c r="N178" s="85"/>
      <c r="O178" s="262"/>
      <c r="P178" s="42"/>
      <c r="Q178" s="97"/>
      <c r="R178" s="154"/>
      <c r="S178" s="92"/>
      <c r="T178" s="112"/>
      <c r="U178" s="112"/>
      <c r="V178" s="112"/>
      <c r="W178" s="112"/>
      <c r="X178" s="42"/>
    </row>
    <row r="179" spans="1:24" s="80" customFormat="1" ht="26.25">
      <c r="A179" s="84"/>
      <c r="B179" s="42"/>
      <c r="C179" s="42"/>
      <c r="D179" s="42"/>
      <c r="E179" s="47"/>
      <c r="F179" s="48"/>
      <c r="G179" s="49"/>
      <c r="H179" s="50"/>
      <c r="I179" s="51"/>
      <c r="J179" s="94"/>
      <c r="K179" s="94"/>
      <c r="L179" s="94"/>
      <c r="M179" s="52"/>
      <c r="N179" s="85"/>
      <c r="O179" s="262"/>
      <c r="P179" s="42"/>
      <c r="Q179" s="97"/>
      <c r="R179" s="154"/>
      <c r="S179" s="92"/>
      <c r="T179" s="112"/>
      <c r="U179" s="112"/>
      <c r="V179" s="112"/>
      <c r="W179" s="112"/>
      <c r="X179" s="56"/>
    </row>
    <row r="180" spans="1:24" s="56" customFormat="1" ht="26.25">
      <c r="A180" s="84"/>
      <c r="B180" s="42"/>
      <c r="C180" s="42"/>
      <c r="D180" s="42"/>
      <c r="E180" s="47"/>
      <c r="F180" s="48"/>
      <c r="G180" s="49"/>
      <c r="H180" s="50"/>
      <c r="I180" s="51"/>
      <c r="J180" s="94"/>
      <c r="K180" s="94"/>
      <c r="L180" s="94"/>
      <c r="M180" s="52"/>
      <c r="N180" s="85"/>
      <c r="O180" s="262"/>
      <c r="P180" s="42"/>
      <c r="Q180" s="97"/>
      <c r="R180" s="154"/>
      <c r="S180" s="92"/>
      <c r="T180" s="112"/>
      <c r="U180" s="112"/>
      <c r="V180" s="112"/>
      <c r="W180" s="112"/>
      <c r="X180" s="42"/>
    </row>
    <row r="181" spans="1:24" s="56" customFormat="1" ht="26.25">
      <c r="A181" s="84"/>
      <c r="B181" s="42"/>
      <c r="C181" s="42"/>
      <c r="D181" s="42"/>
      <c r="E181" s="47"/>
      <c r="F181" s="48"/>
      <c r="G181" s="49"/>
      <c r="H181" s="50"/>
      <c r="I181" s="51"/>
      <c r="J181" s="94"/>
      <c r="K181" s="94"/>
      <c r="L181" s="94"/>
      <c r="M181" s="52"/>
      <c r="N181" s="85"/>
      <c r="O181" s="262"/>
      <c r="P181" s="42"/>
      <c r="Q181" s="97"/>
      <c r="R181" s="154"/>
      <c r="S181" s="92"/>
      <c r="T181" s="112"/>
      <c r="U181" s="112"/>
      <c r="V181" s="112"/>
      <c r="W181" s="112"/>
      <c r="X181" s="42"/>
    </row>
    <row r="182" spans="1:24" s="56" customFormat="1" ht="26.25">
      <c r="A182" s="84"/>
      <c r="B182" s="42"/>
      <c r="C182" s="42"/>
      <c r="D182" s="42"/>
      <c r="E182" s="47"/>
      <c r="F182" s="48"/>
      <c r="G182" s="49"/>
      <c r="H182" s="50"/>
      <c r="I182" s="51"/>
      <c r="J182" s="94"/>
      <c r="K182" s="94"/>
      <c r="L182" s="94"/>
      <c r="M182" s="52"/>
      <c r="N182" s="85"/>
      <c r="O182" s="262"/>
      <c r="P182" s="42"/>
      <c r="Q182" s="97"/>
      <c r="R182" s="154"/>
      <c r="S182" s="92"/>
      <c r="T182" s="112"/>
      <c r="U182" s="112"/>
      <c r="V182" s="112"/>
      <c r="W182" s="112"/>
      <c r="X182" s="42"/>
    </row>
    <row r="183" spans="1:24" s="56" customFormat="1" ht="26.25">
      <c r="A183" s="84"/>
      <c r="B183" s="42"/>
      <c r="C183" s="42"/>
      <c r="D183" s="42"/>
      <c r="E183" s="47"/>
      <c r="F183" s="48"/>
      <c r="G183" s="49"/>
      <c r="H183" s="50"/>
      <c r="I183" s="51"/>
      <c r="J183" s="94"/>
      <c r="K183" s="94"/>
      <c r="L183" s="94"/>
      <c r="M183" s="52"/>
      <c r="N183" s="85"/>
      <c r="O183" s="262"/>
      <c r="P183" s="42"/>
      <c r="Q183" s="97"/>
      <c r="R183" s="154"/>
      <c r="S183" s="92"/>
      <c r="T183" s="112"/>
      <c r="U183" s="112"/>
      <c r="V183" s="112"/>
      <c r="W183" s="112"/>
      <c r="X183" s="42"/>
    </row>
    <row r="184" spans="1:24" s="56" customFormat="1" ht="26.25">
      <c r="A184" s="84"/>
      <c r="B184" s="42"/>
      <c r="C184" s="42"/>
      <c r="D184" s="42"/>
      <c r="E184" s="47"/>
      <c r="F184" s="48"/>
      <c r="G184" s="49"/>
      <c r="H184" s="50"/>
      <c r="I184" s="51"/>
      <c r="J184" s="94"/>
      <c r="K184" s="94"/>
      <c r="L184" s="94"/>
      <c r="M184" s="52"/>
      <c r="N184" s="85"/>
      <c r="O184" s="262"/>
      <c r="P184" s="42"/>
      <c r="Q184" s="97"/>
      <c r="R184" s="154"/>
      <c r="S184" s="92"/>
      <c r="T184" s="112"/>
      <c r="U184" s="112"/>
      <c r="V184" s="112"/>
      <c r="W184" s="112"/>
      <c r="X184" s="42"/>
    </row>
    <row r="185" spans="1:24" s="56" customFormat="1" ht="26.25">
      <c r="A185" s="84"/>
      <c r="B185" s="42"/>
      <c r="C185" s="42"/>
      <c r="D185" s="42"/>
      <c r="E185" s="47"/>
      <c r="F185" s="48"/>
      <c r="G185" s="49"/>
      <c r="H185" s="50"/>
      <c r="I185" s="51"/>
      <c r="J185" s="94"/>
      <c r="K185" s="94"/>
      <c r="L185" s="94"/>
      <c r="M185" s="52"/>
      <c r="N185" s="85"/>
      <c r="O185" s="262"/>
      <c r="P185" s="42"/>
      <c r="Q185" s="97"/>
      <c r="R185" s="154"/>
      <c r="S185" s="92"/>
      <c r="T185" s="112"/>
      <c r="U185" s="112"/>
      <c r="V185" s="112"/>
      <c r="W185" s="112"/>
      <c r="X185" s="42"/>
    </row>
    <row r="186" spans="1:24" s="56" customFormat="1" ht="26.25">
      <c r="A186" s="84"/>
      <c r="B186" s="42"/>
      <c r="C186" s="42"/>
      <c r="D186" s="42"/>
      <c r="E186" s="47"/>
      <c r="F186" s="48"/>
      <c r="G186" s="49"/>
      <c r="H186" s="50"/>
      <c r="I186" s="51"/>
      <c r="J186" s="94"/>
      <c r="K186" s="94"/>
      <c r="L186" s="94"/>
      <c r="M186" s="52"/>
      <c r="N186" s="85"/>
      <c r="O186" s="262"/>
      <c r="P186" s="42"/>
      <c r="Q186" s="97"/>
      <c r="R186" s="154"/>
      <c r="S186" s="92"/>
      <c r="T186" s="112"/>
      <c r="U186" s="112"/>
      <c r="V186" s="112"/>
      <c r="W186" s="112"/>
      <c r="X186" s="42"/>
    </row>
    <row r="187" spans="1:24" s="56" customFormat="1" ht="26.25">
      <c r="A187" s="84"/>
      <c r="B187" s="42"/>
      <c r="C187" s="42"/>
      <c r="D187" s="42"/>
      <c r="E187" s="47"/>
      <c r="F187" s="48"/>
      <c r="G187" s="49"/>
      <c r="H187" s="50"/>
      <c r="I187" s="51"/>
      <c r="J187" s="94"/>
      <c r="K187" s="94"/>
      <c r="L187" s="94"/>
      <c r="M187" s="52"/>
      <c r="N187" s="85"/>
      <c r="O187" s="262"/>
      <c r="P187" s="42"/>
      <c r="Q187" s="97"/>
      <c r="R187" s="154"/>
      <c r="S187" s="92"/>
      <c r="T187" s="112"/>
      <c r="U187" s="112"/>
      <c r="V187" s="112"/>
      <c r="W187" s="112"/>
      <c r="X187" s="42"/>
    </row>
    <row r="188" spans="1:24" s="56" customFormat="1" ht="26.25">
      <c r="A188" s="84"/>
      <c r="B188" s="42"/>
      <c r="C188" s="42"/>
      <c r="D188" s="42"/>
      <c r="E188" s="47"/>
      <c r="F188" s="48"/>
      <c r="G188" s="49"/>
      <c r="H188" s="50"/>
      <c r="I188" s="51"/>
      <c r="J188" s="94"/>
      <c r="K188" s="94"/>
      <c r="L188" s="94"/>
      <c r="M188" s="52"/>
      <c r="N188" s="85"/>
      <c r="O188" s="262"/>
      <c r="Q188" s="97"/>
      <c r="R188" s="154"/>
      <c r="S188" s="92"/>
      <c r="T188" s="112"/>
      <c r="U188" s="112"/>
      <c r="V188" s="112"/>
      <c r="W188" s="112"/>
      <c r="X188" s="42"/>
    </row>
    <row r="189" spans="1:24" s="56" customFormat="1" ht="26.25">
      <c r="A189" s="84"/>
      <c r="B189" s="42"/>
      <c r="C189" s="42"/>
      <c r="D189" s="42"/>
      <c r="E189" s="47"/>
      <c r="F189" s="48"/>
      <c r="G189" s="49"/>
      <c r="H189" s="50"/>
      <c r="I189" s="51"/>
      <c r="J189" s="94"/>
      <c r="K189" s="94"/>
      <c r="L189" s="94"/>
      <c r="M189" s="52"/>
      <c r="N189" s="85"/>
      <c r="O189" s="262"/>
      <c r="P189" s="42"/>
      <c r="Q189" s="97"/>
      <c r="R189" s="154"/>
      <c r="S189" s="92"/>
      <c r="T189" s="112"/>
      <c r="U189" s="112"/>
      <c r="V189" s="112"/>
      <c r="W189" s="112"/>
      <c r="X189" s="42"/>
    </row>
    <row r="190" spans="1:24" s="56" customFormat="1" ht="26.25">
      <c r="A190" s="84"/>
      <c r="B190" s="42"/>
      <c r="C190" s="42"/>
      <c r="D190" s="42"/>
      <c r="E190" s="47"/>
      <c r="F190" s="48"/>
      <c r="G190" s="49"/>
      <c r="H190" s="50"/>
      <c r="I190" s="51"/>
      <c r="J190" s="94"/>
      <c r="K190" s="94"/>
      <c r="L190" s="94"/>
      <c r="M190" s="52"/>
      <c r="N190" s="85"/>
      <c r="O190" s="262"/>
      <c r="P190" s="42"/>
      <c r="Q190" s="97"/>
      <c r="R190" s="154"/>
      <c r="S190" s="92"/>
      <c r="T190" s="112"/>
      <c r="U190" s="112"/>
      <c r="V190" s="112"/>
      <c r="W190" s="112"/>
      <c r="X190" s="42"/>
    </row>
    <row r="191" spans="1:24" s="56" customFormat="1" ht="26.25">
      <c r="A191" s="84"/>
      <c r="B191" s="42"/>
      <c r="C191" s="42"/>
      <c r="D191" s="42"/>
      <c r="E191" s="47"/>
      <c r="F191" s="48"/>
      <c r="G191" s="49"/>
      <c r="H191" s="50"/>
      <c r="I191" s="51"/>
      <c r="J191" s="94"/>
      <c r="K191" s="94"/>
      <c r="L191" s="94"/>
      <c r="M191" s="52"/>
      <c r="N191" s="85"/>
      <c r="O191" s="262"/>
      <c r="P191" s="42"/>
      <c r="Q191" s="97"/>
      <c r="R191" s="154"/>
      <c r="S191" s="92"/>
      <c r="T191" s="112"/>
      <c r="U191" s="112"/>
      <c r="V191" s="112"/>
      <c r="W191" s="112"/>
      <c r="X191" s="42"/>
    </row>
    <row r="192" spans="1:23" s="56" customFormat="1" ht="26.25">
      <c r="A192" s="84"/>
      <c r="B192" s="42"/>
      <c r="C192" s="42"/>
      <c r="D192" s="42"/>
      <c r="E192" s="47"/>
      <c r="F192" s="48"/>
      <c r="G192" s="49"/>
      <c r="H192" s="50"/>
      <c r="I192" s="51"/>
      <c r="J192" s="94"/>
      <c r="K192" s="94"/>
      <c r="L192" s="94"/>
      <c r="M192" s="52"/>
      <c r="N192" s="85"/>
      <c r="O192" s="262"/>
      <c r="P192" s="42"/>
      <c r="Q192" s="97"/>
      <c r="R192" s="154"/>
      <c r="S192" s="92"/>
      <c r="T192" s="112"/>
      <c r="U192" s="112"/>
      <c r="V192" s="112"/>
      <c r="W192" s="112"/>
    </row>
    <row r="193" spans="1:24" s="56" customFormat="1" ht="26.25">
      <c r="A193" s="84"/>
      <c r="B193" s="42"/>
      <c r="C193" s="42"/>
      <c r="D193" s="42"/>
      <c r="E193" s="47"/>
      <c r="F193" s="48"/>
      <c r="G193" s="49"/>
      <c r="H193" s="50"/>
      <c r="I193" s="51"/>
      <c r="J193" s="94"/>
      <c r="K193" s="94"/>
      <c r="L193" s="94"/>
      <c r="M193" s="52"/>
      <c r="N193" s="85"/>
      <c r="O193" s="262"/>
      <c r="P193" s="42"/>
      <c r="Q193" s="97"/>
      <c r="R193" s="154"/>
      <c r="S193" s="92"/>
      <c r="T193" s="112"/>
      <c r="U193" s="112"/>
      <c r="V193" s="112"/>
      <c r="W193" s="112"/>
      <c r="X193" s="42"/>
    </row>
    <row r="194" spans="1:24" s="56" customFormat="1" ht="26.25">
      <c r="A194" s="84"/>
      <c r="B194" s="42"/>
      <c r="C194" s="42"/>
      <c r="D194" s="42"/>
      <c r="E194" s="47"/>
      <c r="F194" s="48"/>
      <c r="G194" s="49"/>
      <c r="H194" s="50"/>
      <c r="I194" s="51"/>
      <c r="J194" s="94"/>
      <c r="K194" s="94"/>
      <c r="L194" s="94"/>
      <c r="M194" s="52"/>
      <c r="N194" s="85"/>
      <c r="O194" s="262"/>
      <c r="P194" s="42"/>
      <c r="Q194" s="97"/>
      <c r="R194" s="154"/>
      <c r="S194" s="92"/>
      <c r="T194" s="112"/>
      <c r="U194" s="112"/>
      <c r="V194" s="112"/>
      <c r="W194" s="112"/>
      <c r="X194" s="42"/>
    </row>
    <row r="195" spans="1:24" s="56" customFormat="1" ht="26.25">
      <c r="A195" s="84"/>
      <c r="B195" s="42"/>
      <c r="C195" s="42"/>
      <c r="D195" s="42"/>
      <c r="E195" s="47"/>
      <c r="F195" s="48"/>
      <c r="G195" s="49"/>
      <c r="H195" s="50"/>
      <c r="I195" s="51"/>
      <c r="J195" s="94"/>
      <c r="K195" s="94"/>
      <c r="L195" s="94"/>
      <c r="M195" s="52"/>
      <c r="N195" s="85"/>
      <c r="O195" s="262"/>
      <c r="P195" s="42"/>
      <c r="Q195" s="97"/>
      <c r="R195" s="154"/>
      <c r="S195" s="92"/>
      <c r="T195" s="112"/>
      <c r="U195" s="112"/>
      <c r="V195" s="112"/>
      <c r="W195" s="112"/>
      <c r="X195" s="42"/>
    </row>
    <row r="196" spans="18:23" ht="26.25">
      <c r="R196" s="154"/>
      <c r="S196" s="92"/>
      <c r="T196" s="112"/>
      <c r="U196" s="112"/>
      <c r="V196" s="112"/>
      <c r="W196" s="112"/>
    </row>
    <row r="197" spans="18:23" ht="26.25">
      <c r="R197" s="154"/>
      <c r="S197" s="92"/>
      <c r="T197" s="112"/>
      <c r="U197" s="112"/>
      <c r="V197" s="112"/>
      <c r="W197" s="112"/>
    </row>
    <row r="198" spans="18:23" ht="26.25">
      <c r="R198" s="154"/>
      <c r="S198" s="92"/>
      <c r="T198" s="112"/>
      <c r="U198" s="112"/>
      <c r="V198" s="112"/>
      <c r="W198" s="112"/>
    </row>
    <row r="199" spans="1:24" s="56" customFormat="1" ht="26.25">
      <c r="A199" s="84"/>
      <c r="B199" s="42"/>
      <c r="C199" s="42"/>
      <c r="D199" s="42"/>
      <c r="E199" s="47"/>
      <c r="F199" s="48"/>
      <c r="G199" s="49"/>
      <c r="H199" s="50"/>
      <c r="I199" s="51"/>
      <c r="J199" s="94"/>
      <c r="K199" s="94"/>
      <c r="L199" s="94"/>
      <c r="M199" s="52"/>
      <c r="N199" s="85"/>
      <c r="O199" s="262"/>
      <c r="P199" s="42"/>
      <c r="Q199" s="97"/>
      <c r="R199" s="154"/>
      <c r="S199" s="92"/>
      <c r="T199" s="112"/>
      <c r="U199" s="112"/>
      <c r="V199" s="112"/>
      <c r="W199" s="112"/>
      <c r="X199" s="42"/>
    </row>
    <row r="200" spans="18:23" ht="26.25">
      <c r="R200" s="154"/>
      <c r="S200" s="92"/>
      <c r="T200" s="112"/>
      <c r="U200" s="112"/>
      <c r="V200" s="112"/>
      <c r="W200" s="112"/>
    </row>
    <row r="201" spans="18:23" ht="26.25">
      <c r="R201" s="154"/>
      <c r="S201" s="92"/>
      <c r="T201" s="112"/>
      <c r="U201" s="112"/>
      <c r="V201" s="112"/>
      <c r="W201" s="112"/>
    </row>
    <row r="202" spans="17:23" ht="26.25">
      <c r="Q202" s="112"/>
      <c r="R202" s="112"/>
      <c r="S202" s="112"/>
      <c r="T202" s="112"/>
      <c r="U202" s="112"/>
      <c r="V202" s="112"/>
      <c r="W202" s="112"/>
    </row>
    <row r="203" spans="17:23" ht="26.25">
      <c r="Q203" s="112"/>
      <c r="R203" s="112"/>
      <c r="S203" s="112"/>
      <c r="T203" s="112"/>
      <c r="U203" s="112"/>
      <c r="V203" s="112"/>
      <c r="W203" s="112"/>
    </row>
    <row r="204" spans="17:23" ht="26.25">
      <c r="Q204" s="112"/>
      <c r="R204" s="112"/>
      <c r="S204" s="112"/>
      <c r="T204" s="112"/>
      <c r="U204" s="112"/>
      <c r="V204" s="112"/>
      <c r="W204" s="112"/>
    </row>
    <row r="205" spans="17:23" ht="26.25">
      <c r="Q205" s="112"/>
      <c r="R205" s="112"/>
      <c r="S205" s="112"/>
      <c r="T205" s="112"/>
      <c r="U205" s="112"/>
      <c r="V205" s="112"/>
      <c r="W205" s="112"/>
    </row>
    <row r="206" spans="16:23" ht="26.25">
      <c r="P206" s="56"/>
      <c r="R206" s="92"/>
      <c r="S206" s="92"/>
      <c r="T206" s="112"/>
      <c r="U206" s="93"/>
      <c r="V206" s="93"/>
      <c r="W206" s="112"/>
    </row>
    <row r="207" spans="18:24" ht="26.25">
      <c r="R207" s="154"/>
      <c r="S207" s="92"/>
      <c r="T207" s="112"/>
      <c r="U207" s="157"/>
      <c r="V207" s="92"/>
      <c r="W207" s="112"/>
      <c r="X207" s="56"/>
    </row>
    <row r="208" spans="16:24" ht="26.25">
      <c r="P208" s="56"/>
      <c r="R208" s="154"/>
      <c r="S208" s="92"/>
      <c r="T208" s="112"/>
      <c r="U208" s="157"/>
      <c r="V208" s="92"/>
      <c r="W208" s="112"/>
      <c r="X208" s="56"/>
    </row>
    <row r="209" spans="16:23" ht="26.25">
      <c r="P209" s="56"/>
      <c r="R209" s="154"/>
      <c r="S209" s="92"/>
      <c r="T209" s="112"/>
      <c r="U209" s="157"/>
      <c r="V209" s="92"/>
      <c r="W209" s="112"/>
    </row>
    <row r="210" spans="16:24" ht="26.25">
      <c r="P210" s="56"/>
      <c r="R210" s="154"/>
      <c r="S210" s="92"/>
      <c r="T210" s="112"/>
      <c r="U210" s="157"/>
      <c r="V210" s="92"/>
      <c r="W210" s="112"/>
      <c r="X210" s="56"/>
    </row>
    <row r="211" spans="16:24" ht="26.25">
      <c r="P211" s="56"/>
      <c r="R211" s="154"/>
      <c r="S211" s="92"/>
      <c r="T211" s="112"/>
      <c r="U211" s="93"/>
      <c r="V211" s="93"/>
      <c r="W211" s="112"/>
      <c r="X211" s="56"/>
    </row>
    <row r="212" spans="16:24" ht="26.25">
      <c r="P212" s="56"/>
      <c r="Q212" s="112"/>
      <c r="R212" s="154"/>
      <c r="S212" s="92"/>
      <c r="T212" s="112"/>
      <c r="U212" s="112"/>
      <c r="V212" s="158"/>
      <c r="W212" s="112"/>
      <c r="X212" s="56"/>
    </row>
    <row r="213" spans="16:24" ht="26.25">
      <c r="P213" s="56"/>
      <c r="R213" s="154"/>
      <c r="S213" s="92"/>
      <c r="T213" s="112"/>
      <c r="U213" s="112"/>
      <c r="V213" s="112"/>
      <c r="W213" s="112"/>
      <c r="X213" s="56"/>
    </row>
    <row r="214" spans="16:24" ht="26.25">
      <c r="P214" s="56"/>
      <c r="R214" s="154"/>
      <c r="S214" s="92"/>
      <c r="T214" s="112"/>
      <c r="U214" s="112"/>
      <c r="V214" s="112"/>
      <c r="W214" s="112"/>
      <c r="X214" s="56"/>
    </row>
    <row r="215" spans="16:24" ht="26.25">
      <c r="P215" s="56"/>
      <c r="R215" s="154"/>
      <c r="S215" s="92"/>
      <c r="T215" s="112"/>
      <c r="U215" s="112"/>
      <c r="V215" s="112"/>
      <c r="W215" s="112"/>
      <c r="X215" s="56"/>
    </row>
    <row r="216" spans="16:24" ht="26.25">
      <c r="P216" s="56"/>
      <c r="R216" s="154"/>
      <c r="S216" s="92"/>
      <c r="T216" s="112"/>
      <c r="U216" s="112"/>
      <c r="V216" s="112"/>
      <c r="W216" s="112"/>
      <c r="X216" s="56"/>
    </row>
    <row r="217" spans="16:24" ht="26.25">
      <c r="P217" s="56"/>
      <c r="R217" s="154"/>
      <c r="S217" s="92"/>
      <c r="T217" s="112"/>
      <c r="U217" s="112"/>
      <c r="V217" s="112"/>
      <c r="W217" s="112"/>
      <c r="X217" s="56"/>
    </row>
    <row r="218" spans="18:24" ht="26.25">
      <c r="R218" s="154"/>
      <c r="S218" s="92"/>
      <c r="T218" s="112"/>
      <c r="U218" s="112"/>
      <c r="V218" s="112"/>
      <c r="W218" s="112"/>
      <c r="X218" s="56"/>
    </row>
    <row r="219" spans="18:24" ht="26.25">
      <c r="R219" s="154"/>
      <c r="S219" s="92"/>
      <c r="T219" s="112"/>
      <c r="U219" s="112"/>
      <c r="V219" s="112"/>
      <c r="W219" s="112"/>
      <c r="X219" s="56"/>
    </row>
    <row r="220" spans="18:24" ht="26.25">
      <c r="R220" s="154"/>
      <c r="S220" s="92"/>
      <c r="T220" s="112"/>
      <c r="U220" s="112"/>
      <c r="V220" s="112"/>
      <c r="W220" s="112"/>
      <c r="X220" s="56"/>
    </row>
    <row r="221" spans="18:23" ht="26.25">
      <c r="R221" s="154"/>
      <c r="S221" s="92"/>
      <c r="T221" s="112"/>
      <c r="U221" s="112"/>
      <c r="V221" s="112"/>
      <c r="W221" s="112"/>
    </row>
    <row r="222" spans="18:23" ht="26.25">
      <c r="R222" s="154"/>
      <c r="S222" s="92"/>
      <c r="T222" s="112"/>
      <c r="U222" s="112"/>
      <c r="V222" s="112"/>
      <c r="W222" s="112"/>
    </row>
    <row r="223" spans="18:23" ht="26.25">
      <c r="R223" s="154"/>
      <c r="S223" s="92"/>
      <c r="T223" s="112"/>
      <c r="U223" s="112"/>
      <c r="V223" s="112"/>
      <c r="W223" s="112"/>
    </row>
    <row r="224" ht="26.25">
      <c r="Q224" s="134"/>
    </row>
  </sheetData>
  <sheetProtection/>
  <mergeCells count="11">
    <mergeCell ref="Q3:W3"/>
    <mergeCell ref="Q4:W4"/>
    <mergeCell ref="B5:D5"/>
    <mergeCell ref="E5:F5"/>
    <mergeCell ref="J120:O120"/>
    <mergeCell ref="C127:O127"/>
    <mergeCell ref="A1:O1"/>
    <mergeCell ref="Q1:W1"/>
    <mergeCell ref="A2:O2"/>
    <mergeCell ref="Q2:W2"/>
    <mergeCell ref="A3:O3"/>
  </mergeCells>
  <printOptions horizontalCentered="1"/>
  <pageMargins left="0" right="0" top="0.7480314960629921" bottom="0.7480314960629921" header="0.31496062992125984" footer="0.31496062992125984"/>
  <pageSetup fitToHeight="0" horizontalDpi="600" verticalDpi="600" orientation="portrait" paperSize="9" scale="72" r:id="rId1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E185"/>
  <sheetViews>
    <sheetView zoomScaleSheetLayoutView="110" workbookViewId="0" topLeftCell="A1">
      <selection activeCell="H13" sqref="H13"/>
    </sheetView>
  </sheetViews>
  <sheetFormatPr defaultColWidth="9.140625" defaultRowHeight="12.75"/>
  <cols>
    <col min="1" max="1" width="3.7109375" style="84" bestFit="1" customWidth="1"/>
    <col min="2" max="2" width="5.421875" style="42" customWidth="1"/>
    <col min="3" max="3" width="1.57421875" style="42" customWidth="1"/>
    <col min="4" max="4" width="7.140625" style="42" customWidth="1"/>
    <col min="5" max="5" width="6.140625" style="47" customWidth="1"/>
    <col min="6" max="6" width="3.00390625" style="48" customWidth="1"/>
    <col min="7" max="7" width="18.7109375" style="49" customWidth="1"/>
    <col min="8" max="8" width="10.8515625" style="50" bestFit="1" customWidth="1"/>
    <col min="9" max="9" width="3.7109375" style="51" bestFit="1" customWidth="1"/>
    <col min="10" max="10" width="5.8515625" style="94" customWidth="1"/>
    <col min="11" max="11" width="4.7109375" style="94" bestFit="1" customWidth="1"/>
    <col min="12" max="12" width="15.28125" style="94" customWidth="1"/>
    <col min="13" max="13" width="6.57421875" style="52" customWidth="1"/>
    <col min="14" max="14" width="7.421875" style="85" hidden="1" customWidth="1"/>
    <col min="15" max="15" width="9.00390625" style="86" customWidth="1"/>
    <col min="16" max="16" width="2.7109375" style="42" customWidth="1"/>
    <col min="17" max="17" width="10.7109375" style="97" bestFit="1" customWidth="1"/>
    <col min="18" max="22" width="10.57421875" style="97" customWidth="1"/>
    <col min="23" max="23" width="13.140625" style="97" bestFit="1" customWidth="1"/>
    <col min="24" max="24" width="2.7109375" style="42" customWidth="1"/>
    <col min="25" max="16384" width="9.140625" style="42" customWidth="1"/>
  </cols>
  <sheetData>
    <row r="1" spans="1:23" s="1" customFormat="1" ht="23.25">
      <c r="A1" s="385" t="s">
        <v>359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Q1" s="386" t="s">
        <v>433</v>
      </c>
      <c r="R1" s="386"/>
      <c r="S1" s="386"/>
      <c r="T1" s="386"/>
      <c r="U1" s="386"/>
      <c r="V1" s="386"/>
      <c r="W1" s="386"/>
    </row>
    <row r="2" spans="1:23" s="1" customFormat="1" ht="23.25">
      <c r="A2" s="385" t="s">
        <v>186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Q2" s="386" t="s">
        <v>186</v>
      </c>
      <c r="R2" s="386"/>
      <c r="S2" s="386"/>
      <c r="T2" s="386"/>
      <c r="U2" s="386"/>
      <c r="V2" s="386"/>
      <c r="W2" s="386"/>
    </row>
    <row r="3" spans="1:23" s="1" customFormat="1" ht="23.25">
      <c r="A3" s="387">
        <v>241122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Q3" s="386">
        <f>A3</f>
        <v>241122</v>
      </c>
      <c r="R3" s="386"/>
      <c r="S3" s="386"/>
      <c r="T3" s="386"/>
      <c r="U3" s="386"/>
      <c r="V3" s="386"/>
      <c r="W3" s="386"/>
    </row>
    <row r="4" spans="1:23" s="4" customFormat="1" ht="8.25">
      <c r="A4" s="2"/>
      <c r="B4" s="3"/>
      <c r="F4" s="5"/>
      <c r="J4" s="87"/>
      <c r="K4" s="87"/>
      <c r="L4" s="87"/>
      <c r="M4" s="6"/>
      <c r="N4" s="6"/>
      <c r="O4" s="266"/>
      <c r="Q4" s="383" t="s">
        <v>17</v>
      </c>
      <c r="R4" s="384"/>
      <c r="S4" s="384"/>
      <c r="T4" s="384"/>
      <c r="U4" s="384"/>
      <c r="V4" s="384"/>
      <c r="W4" s="384"/>
    </row>
    <row r="5" spans="1:30" s="1" customFormat="1" ht="63">
      <c r="A5" s="7" t="s">
        <v>10</v>
      </c>
      <c r="B5" s="388" t="s">
        <v>11</v>
      </c>
      <c r="C5" s="389"/>
      <c r="D5" s="390"/>
      <c r="E5" s="388" t="s">
        <v>12</v>
      </c>
      <c r="F5" s="390"/>
      <c r="G5" s="8" t="s">
        <v>19</v>
      </c>
      <c r="H5" s="9" t="s">
        <v>24</v>
      </c>
      <c r="I5" s="8" t="s">
        <v>14</v>
      </c>
      <c r="J5" s="88" t="s">
        <v>13</v>
      </c>
      <c r="K5" s="88" t="s">
        <v>26</v>
      </c>
      <c r="L5" s="88" t="s">
        <v>27</v>
      </c>
      <c r="M5" s="10" t="s">
        <v>18</v>
      </c>
      <c r="N5" s="11"/>
      <c r="O5" s="12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19"/>
      <c r="Z5" s="92"/>
      <c r="AA5" s="92"/>
      <c r="AB5" s="375"/>
      <c r="AC5" s="378"/>
      <c r="AD5" s="378"/>
    </row>
    <row r="6" spans="1:30" s="1" customFormat="1" ht="23.25">
      <c r="A6" s="271">
        <v>1</v>
      </c>
      <c r="B6" s="272" t="s">
        <v>344</v>
      </c>
      <c r="C6" s="273"/>
      <c r="D6" s="313" t="s">
        <v>345</v>
      </c>
      <c r="E6" s="299" t="s">
        <v>346</v>
      </c>
      <c r="F6" s="300" t="s">
        <v>188</v>
      </c>
      <c r="G6" s="382">
        <v>3102000055412</v>
      </c>
      <c r="H6" s="278">
        <v>224261</v>
      </c>
      <c r="I6" s="315">
        <f>DATEDIF(H6,$S$16,"Y")</f>
        <v>44</v>
      </c>
      <c r="J6" s="89">
        <f>DATEDIF(H6,$S$16,"YM")</f>
        <v>8</v>
      </c>
      <c r="K6" s="89">
        <f>DATEDIF(H6,$S$16,"MD")</f>
        <v>29</v>
      </c>
      <c r="L6" s="314" t="str">
        <f>I6&amp;" ปี  "&amp;J6&amp;" เดือน  "&amp;K6&amp;" วัน"</f>
        <v>44 ปี  8 เดือน  29 วัน</v>
      </c>
      <c r="M6" s="316">
        <f>IF(I6&lt;=69,500,IF(I6&lt;=79,500,IF(I6&lt;=89,500,IF(I6&gt;=90,500))))</f>
        <v>500</v>
      </c>
      <c r="N6" s="281"/>
      <c r="O6" s="282"/>
      <c r="P6" s="31"/>
      <c r="Q6" s="32">
        <v>1</v>
      </c>
      <c r="R6" s="33">
        <f>V19</f>
        <v>0</v>
      </c>
      <c r="S6" s="34">
        <f>V20</f>
        <v>0</v>
      </c>
      <c r="T6" s="33">
        <f>V21</f>
        <v>0</v>
      </c>
      <c r="U6" s="33">
        <f>AD10</f>
        <v>0</v>
      </c>
      <c r="V6" s="33">
        <f>AD10</f>
        <v>0</v>
      </c>
      <c r="W6" s="35">
        <f aca="true" t="shared" si="0" ref="W6:W11">(R6*600)+(S6*700)+(T6*800)+(U6*1000)</f>
        <v>0</v>
      </c>
      <c r="Z6" s="154"/>
      <c r="AA6" s="92"/>
      <c r="AB6" s="375"/>
      <c r="AC6" s="157"/>
      <c r="AD6" s="92"/>
    </row>
    <row r="7" spans="1:30" s="1" customFormat="1" ht="23.25">
      <c r="A7" s="271"/>
      <c r="B7" s="272"/>
      <c r="C7" s="283"/>
      <c r="D7" s="284"/>
      <c r="E7" s="275"/>
      <c r="F7" s="276"/>
      <c r="G7" s="277"/>
      <c r="H7" s="278"/>
      <c r="I7" s="279"/>
      <c r="J7" s="279"/>
      <c r="K7" s="279"/>
      <c r="L7" s="279"/>
      <c r="M7" s="280"/>
      <c r="N7" s="281"/>
      <c r="O7" s="282"/>
      <c r="P7" s="31"/>
      <c r="Q7" s="36">
        <v>2</v>
      </c>
      <c r="R7" s="33">
        <v>0</v>
      </c>
      <c r="S7" s="34">
        <v>0</v>
      </c>
      <c r="T7" s="33">
        <v>0</v>
      </c>
      <c r="U7" s="34">
        <f>V23</f>
        <v>0</v>
      </c>
      <c r="V7" s="33">
        <f>V23</f>
        <v>0</v>
      </c>
      <c r="W7" s="37">
        <f t="shared" si="0"/>
        <v>0</v>
      </c>
      <c r="Z7" s="154"/>
      <c r="AA7" s="92"/>
      <c r="AB7" s="375"/>
      <c r="AC7" s="157"/>
      <c r="AD7" s="92"/>
    </row>
    <row r="8" spans="1:30" s="1" customFormat="1" ht="23.25">
      <c r="A8" s="271"/>
      <c r="B8" s="285"/>
      <c r="C8" s="286"/>
      <c r="D8" s="287"/>
      <c r="E8" s="288"/>
      <c r="F8" s="289"/>
      <c r="G8" s="290"/>
      <c r="H8" s="291"/>
      <c r="I8" s="279"/>
      <c r="J8" s="279"/>
      <c r="K8" s="279"/>
      <c r="L8" s="279"/>
      <c r="M8" s="292"/>
      <c r="N8" s="292"/>
      <c r="O8" s="293"/>
      <c r="P8" s="31"/>
      <c r="Q8" s="36">
        <v>3</v>
      </c>
      <c r="R8" s="33">
        <f>V124</f>
        <v>0</v>
      </c>
      <c r="S8" s="33">
        <f>V125</f>
        <v>0</v>
      </c>
      <c r="T8" s="33">
        <f>V126</f>
        <v>0</v>
      </c>
      <c r="U8" s="33">
        <f>V37</f>
        <v>0</v>
      </c>
      <c r="V8" s="33">
        <f>V37</f>
        <v>0</v>
      </c>
      <c r="W8" s="37">
        <f t="shared" si="0"/>
        <v>0</v>
      </c>
      <c r="Z8" s="154"/>
      <c r="AA8" s="92"/>
      <c r="AB8" s="104"/>
      <c r="AC8" s="157"/>
      <c r="AD8" s="92"/>
    </row>
    <row r="9" spans="1:30" s="1" customFormat="1" ht="23.25">
      <c r="A9" s="271"/>
      <c r="B9" s="272"/>
      <c r="C9" s="283"/>
      <c r="D9" s="284"/>
      <c r="E9" s="275"/>
      <c r="F9" s="276"/>
      <c r="G9" s="277"/>
      <c r="H9" s="278"/>
      <c r="I9" s="271"/>
      <c r="J9" s="279"/>
      <c r="K9" s="279"/>
      <c r="L9" s="279"/>
      <c r="M9" s="280"/>
      <c r="N9" s="280"/>
      <c r="O9" s="294"/>
      <c r="P9" s="31"/>
      <c r="Q9" s="36">
        <v>4</v>
      </c>
      <c r="R9" s="33">
        <f>$V168</f>
        <v>0</v>
      </c>
      <c r="S9" s="33">
        <f>$V169</f>
        <v>0</v>
      </c>
      <c r="T9" s="33">
        <f>$V170</f>
        <v>0</v>
      </c>
      <c r="U9" s="33">
        <f>V37</f>
        <v>0</v>
      </c>
      <c r="V9" s="33">
        <f>V37</f>
        <v>0</v>
      </c>
      <c r="W9" s="37">
        <f t="shared" si="0"/>
        <v>0</v>
      </c>
      <c r="Z9" s="154"/>
      <c r="AA9" s="92"/>
      <c r="AB9" s="104"/>
      <c r="AC9" s="157"/>
      <c r="AD9" s="92"/>
    </row>
    <row r="10" spans="1:30" s="1" customFormat="1" ht="23.25">
      <c r="A10" s="271"/>
      <c r="B10" s="272"/>
      <c r="C10" s="283"/>
      <c r="D10" s="284"/>
      <c r="E10" s="275"/>
      <c r="F10" s="276"/>
      <c r="G10" s="277"/>
      <c r="H10" s="278"/>
      <c r="I10" s="271"/>
      <c r="J10" s="279"/>
      <c r="K10" s="279"/>
      <c r="L10" s="279"/>
      <c r="M10" s="295"/>
      <c r="N10" s="295"/>
      <c r="O10" s="296"/>
      <c r="P10" s="31"/>
      <c r="Q10" s="36">
        <v>5</v>
      </c>
      <c r="R10" s="33">
        <v>0</v>
      </c>
      <c r="S10" s="33">
        <v>0</v>
      </c>
      <c r="T10" s="33">
        <v>0</v>
      </c>
      <c r="U10" s="33">
        <f>V51</f>
        <v>0</v>
      </c>
      <c r="V10" s="33">
        <f>V51</f>
        <v>0</v>
      </c>
      <c r="W10" s="37">
        <f t="shared" si="0"/>
        <v>0</v>
      </c>
      <c r="Z10" s="154"/>
      <c r="AA10" s="92"/>
      <c r="AB10" s="104"/>
      <c r="AC10" s="378"/>
      <c r="AD10" s="378"/>
    </row>
    <row r="11" spans="1:30" s="1" customFormat="1" ht="23.25">
      <c r="A11" s="271"/>
      <c r="B11" s="272"/>
      <c r="C11" s="273"/>
      <c r="D11" s="274"/>
      <c r="E11" s="275"/>
      <c r="F11" s="276"/>
      <c r="G11" s="277"/>
      <c r="H11" s="278"/>
      <c r="I11" s="271"/>
      <c r="J11" s="279"/>
      <c r="K11" s="279"/>
      <c r="L11" s="279"/>
      <c r="M11" s="295"/>
      <c r="N11" s="295"/>
      <c r="O11" s="296"/>
      <c r="P11" s="31"/>
      <c r="Q11" s="36">
        <v>6</v>
      </c>
      <c r="R11" s="33">
        <v>0</v>
      </c>
      <c r="S11" s="34">
        <v>0</v>
      </c>
      <c r="T11" s="33">
        <v>0</v>
      </c>
      <c r="U11" s="33">
        <f>V65</f>
        <v>0</v>
      </c>
      <c r="V11" s="33">
        <f>V65</f>
        <v>0</v>
      </c>
      <c r="W11" s="37">
        <f t="shared" si="0"/>
        <v>0</v>
      </c>
      <c r="Z11" s="154"/>
      <c r="AA11" s="92"/>
      <c r="AB11" s="112"/>
      <c r="AC11" s="112"/>
      <c r="AD11" s="112"/>
    </row>
    <row r="12" spans="1:30" s="1" customFormat="1" ht="23.25">
      <c r="A12" s="271"/>
      <c r="B12" s="285"/>
      <c r="C12" s="297"/>
      <c r="D12" s="298"/>
      <c r="E12" s="275"/>
      <c r="F12" s="276"/>
      <c r="G12" s="277"/>
      <c r="H12" s="278"/>
      <c r="I12" s="271"/>
      <c r="J12" s="279"/>
      <c r="K12" s="279"/>
      <c r="L12" s="279"/>
      <c r="M12" s="295"/>
      <c r="N12" s="295"/>
      <c r="O12" s="296"/>
      <c r="P12" s="31"/>
      <c r="Q12" s="36"/>
      <c r="R12" s="33"/>
      <c r="S12" s="34"/>
      <c r="T12" s="33"/>
      <c r="U12" s="33"/>
      <c r="V12" s="33"/>
      <c r="W12" s="37"/>
      <c r="Z12" s="154"/>
      <c r="AA12" s="92"/>
      <c r="AB12" s="112"/>
      <c r="AC12" s="112"/>
      <c r="AD12" s="112"/>
    </row>
    <row r="13" spans="1:30" s="1" customFormat="1" ht="23.25">
      <c r="A13" s="271"/>
      <c r="B13" s="272"/>
      <c r="C13" s="283"/>
      <c r="D13" s="284"/>
      <c r="E13" s="275"/>
      <c r="F13" s="276"/>
      <c r="G13" s="277"/>
      <c r="H13" s="278"/>
      <c r="I13" s="271"/>
      <c r="J13" s="279"/>
      <c r="K13" s="279"/>
      <c r="L13" s="279"/>
      <c r="M13" s="295"/>
      <c r="N13" s="295"/>
      <c r="O13" s="296"/>
      <c r="P13" s="31"/>
      <c r="Q13" s="36"/>
      <c r="R13" s="33"/>
      <c r="S13" s="34"/>
      <c r="T13" s="33"/>
      <c r="U13" s="33"/>
      <c r="V13" s="33"/>
      <c r="W13" s="37" t="s">
        <v>187</v>
      </c>
      <c r="Z13" s="154"/>
      <c r="AA13" s="92"/>
      <c r="AB13" s="112"/>
      <c r="AC13" s="204"/>
      <c r="AD13" s="204"/>
    </row>
    <row r="14" spans="1:24" ht="23.25">
      <c r="A14" s="271"/>
      <c r="B14" s="272"/>
      <c r="C14" s="273"/>
      <c r="D14" s="274"/>
      <c r="E14" s="275"/>
      <c r="F14" s="276"/>
      <c r="G14" s="277"/>
      <c r="H14" s="278"/>
      <c r="I14" s="271"/>
      <c r="J14" s="279"/>
      <c r="K14" s="279"/>
      <c r="L14" s="279"/>
      <c r="M14" s="280"/>
      <c r="N14" s="280"/>
      <c r="O14" s="301"/>
      <c r="P14" s="31"/>
      <c r="Q14" s="40"/>
      <c r="R14" s="33"/>
      <c r="S14" s="33"/>
      <c r="T14" s="33"/>
      <c r="U14" s="33"/>
      <c r="V14" s="33"/>
      <c r="W14" s="41"/>
      <c r="X14" s="1"/>
    </row>
    <row r="15" spans="1:24" ht="27" thickBot="1">
      <c r="A15" s="182"/>
      <c r="B15" s="21"/>
      <c r="C15" s="22"/>
      <c r="D15" s="23"/>
      <c r="E15" s="24"/>
      <c r="F15" s="25"/>
      <c r="G15" s="26"/>
      <c r="H15" s="27"/>
      <c r="I15" s="28"/>
      <c r="J15" s="89"/>
      <c r="K15" s="89"/>
      <c r="L15" s="89" t="s">
        <v>349</v>
      </c>
      <c r="M15" s="38"/>
      <c r="N15" s="39"/>
      <c r="O15" s="269"/>
      <c r="P15" s="13"/>
      <c r="Q15" s="43" t="s">
        <v>23</v>
      </c>
      <c r="R15" s="44">
        <f aca="true" t="shared" si="1" ref="R15:W15">SUM(R6:R14)</f>
        <v>0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0</v>
      </c>
      <c r="W15" s="45">
        <f t="shared" si="1"/>
        <v>0</v>
      </c>
      <c r="X15" s="19"/>
    </row>
    <row r="16" spans="1:24" ht="27" thickTop="1">
      <c r="A16" s="182"/>
      <c r="B16" s="21"/>
      <c r="C16" s="22"/>
      <c r="D16" s="23"/>
      <c r="E16" s="24"/>
      <c r="F16" s="25"/>
      <c r="G16" s="26"/>
      <c r="H16" s="27"/>
      <c r="I16" s="28"/>
      <c r="J16" s="89"/>
      <c r="K16" s="89"/>
      <c r="L16" s="89"/>
      <c r="M16" s="38"/>
      <c r="N16" s="39"/>
      <c r="O16" s="269"/>
      <c r="Q16" s="96" t="s">
        <v>28</v>
      </c>
      <c r="S16" s="95">
        <v>240604</v>
      </c>
      <c r="T16" s="98"/>
      <c r="U16" s="98"/>
      <c r="V16" s="98"/>
      <c r="W16" s="99"/>
      <c r="X16" s="46"/>
    </row>
    <row r="17" spans="1:24" ht="26.25">
      <c r="A17" s="182"/>
      <c r="B17" s="21"/>
      <c r="C17" s="22"/>
      <c r="D17" s="23"/>
      <c r="E17" s="24"/>
      <c r="F17" s="25"/>
      <c r="G17" s="26"/>
      <c r="H17" s="27"/>
      <c r="I17" s="90"/>
      <c r="J17" s="89"/>
      <c r="K17" s="89"/>
      <c r="L17" s="89"/>
      <c r="M17" s="38"/>
      <c r="N17" s="159"/>
      <c r="O17" s="268"/>
      <c r="Q17" s="96"/>
      <c r="S17" s="95"/>
      <c r="T17" s="98"/>
      <c r="U17" s="98"/>
      <c r="V17" s="98"/>
      <c r="W17" s="99"/>
      <c r="X17" s="46"/>
    </row>
    <row r="18" spans="1:31" ht="26.25">
      <c r="A18" s="182"/>
      <c r="B18" s="21"/>
      <c r="C18" s="22"/>
      <c r="D18" s="23"/>
      <c r="E18" s="24"/>
      <c r="F18" s="25"/>
      <c r="G18" s="26"/>
      <c r="H18" s="27"/>
      <c r="I18" s="28"/>
      <c r="J18" s="89"/>
      <c r="K18" s="89"/>
      <c r="L18" s="89"/>
      <c r="M18" s="38"/>
      <c r="N18" s="39"/>
      <c r="O18" s="269"/>
      <c r="Q18" s="100"/>
      <c r="R18" s="107" t="s">
        <v>0</v>
      </c>
      <c r="S18" s="108" t="s">
        <v>22</v>
      </c>
      <c r="T18" s="101"/>
      <c r="U18" s="109" t="s">
        <v>1</v>
      </c>
      <c r="V18" s="109" t="s">
        <v>22</v>
      </c>
      <c r="W18" s="102"/>
      <c r="X18" s="51"/>
      <c r="Y18" s="51"/>
      <c r="Z18" s="51"/>
      <c r="AA18" s="51"/>
      <c r="AB18" s="52"/>
      <c r="AC18" s="52"/>
      <c r="AD18" s="52"/>
      <c r="AE18" s="51"/>
    </row>
    <row r="19" spans="1:31" ht="26.25">
      <c r="A19" s="182"/>
      <c r="B19" s="21"/>
      <c r="C19" s="22"/>
      <c r="D19" s="23"/>
      <c r="E19" s="24"/>
      <c r="F19" s="25"/>
      <c r="G19" s="26"/>
      <c r="H19" s="27"/>
      <c r="I19" s="28"/>
      <c r="J19" s="89"/>
      <c r="K19" s="89"/>
      <c r="L19" s="89"/>
      <c r="M19" s="38"/>
      <c r="N19" s="39"/>
      <c r="O19" s="269"/>
      <c r="R19" s="110">
        <v>90</v>
      </c>
      <c r="S19" s="94">
        <f>COUNTIF(I14:I14,"90")</f>
        <v>0</v>
      </c>
      <c r="T19" s="101"/>
      <c r="U19" s="111" t="s">
        <v>2</v>
      </c>
      <c r="V19" s="89">
        <v>0</v>
      </c>
      <c r="W19" s="102"/>
      <c r="X19" s="51"/>
      <c r="Y19" s="51"/>
      <c r="Z19" s="51"/>
      <c r="AA19" s="51"/>
      <c r="AB19" s="52"/>
      <c r="AC19" s="52"/>
      <c r="AD19" s="52"/>
      <c r="AE19" s="51"/>
    </row>
    <row r="20" spans="1:31" ht="26.25">
      <c r="A20" s="182"/>
      <c r="B20" s="21"/>
      <c r="C20" s="22"/>
      <c r="D20" s="23"/>
      <c r="E20" s="24"/>
      <c r="F20" s="25"/>
      <c r="G20" s="26"/>
      <c r="H20" s="27"/>
      <c r="I20" s="28"/>
      <c r="J20" s="89"/>
      <c r="K20" s="89"/>
      <c r="L20" s="89"/>
      <c r="M20" s="38"/>
      <c r="N20" s="39"/>
      <c r="O20" s="269"/>
      <c r="R20" s="110">
        <v>91</v>
      </c>
      <c r="S20" s="94">
        <f>COUNTIF(I14:I14,"91")</f>
        <v>0</v>
      </c>
      <c r="T20" s="101"/>
      <c r="U20" s="111" t="s">
        <v>7</v>
      </c>
      <c r="V20" s="89">
        <v>0</v>
      </c>
      <c r="W20" s="102"/>
      <c r="X20" s="51"/>
      <c r="Y20" s="51"/>
      <c r="Z20" s="51"/>
      <c r="AA20" s="51"/>
      <c r="AB20" s="52"/>
      <c r="AC20" s="52"/>
      <c r="AD20" s="52"/>
      <c r="AE20" s="51"/>
    </row>
    <row r="21" spans="1:23" ht="26.25">
      <c r="A21" s="20"/>
      <c r="B21" s="58"/>
      <c r="C21" s="58"/>
      <c r="D21" s="58"/>
      <c r="E21" s="59"/>
      <c r="F21" s="60"/>
      <c r="G21" s="61" t="str">
        <f>"รวมผู้สูงอายุจำนวน  "&amp;A6&amp;"  ราย   เป็นเงินทั้งสิ้น   "</f>
        <v>รวมผู้สูงอายุจำนวน  1  ราย   เป็นเงินทั้งสิ้น   </v>
      </c>
      <c r="H21" s="62"/>
      <c r="I21" s="63"/>
      <c r="J21" s="91"/>
      <c r="K21" s="91"/>
      <c r="L21" s="91"/>
      <c r="M21" s="64">
        <f>SUM(M6:M20)</f>
        <v>500</v>
      </c>
      <c r="N21" s="65"/>
      <c r="O21" s="270"/>
      <c r="Q21" s="103"/>
      <c r="R21" s="110">
        <v>92</v>
      </c>
      <c r="S21" s="94">
        <f>COUNTIF(I14:I14,"92")</f>
        <v>0</v>
      </c>
      <c r="T21" s="104"/>
      <c r="U21" s="111" t="s">
        <v>8</v>
      </c>
      <c r="V21" s="89">
        <v>0</v>
      </c>
      <c r="W21" s="105"/>
    </row>
    <row r="22" spans="1:23" ht="26.25">
      <c r="A22" s="20"/>
      <c r="B22" s="66"/>
      <c r="C22" s="66"/>
      <c r="D22" s="66"/>
      <c r="E22" s="67"/>
      <c r="F22" s="68"/>
      <c r="G22" s="69"/>
      <c r="H22" s="62"/>
      <c r="I22" s="63"/>
      <c r="J22" s="91"/>
      <c r="K22" s="91"/>
      <c r="L22" s="91"/>
      <c r="M22" s="70" t="str">
        <f>"("&amp;_xlfn.BAHTTEXT(M21)&amp;")"</f>
        <v>(ห้าร้อยบาทถ้วน)</v>
      </c>
      <c r="N22" s="71"/>
      <c r="O22" s="72"/>
      <c r="Q22" s="106"/>
      <c r="R22" s="110">
        <v>93</v>
      </c>
      <c r="S22" s="94">
        <f>COUNTIF(I14:I14,"93")</f>
        <v>0</v>
      </c>
      <c r="T22" s="104"/>
      <c r="U22" s="111" t="s">
        <v>9</v>
      </c>
      <c r="V22" s="89">
        <f>SUM(S19:S29)</f>
        <v>0</v>
      </c>
      <c r="W22" s="105"/>
    </row>
    <row r="23" spans="17:23" ht="26.25">
      <c r="Q23" s="106"/>
      <c r="R23" s="110">
        <v>94</v>
      </c>
      <c r="S23" s="94">
        <f>COUNTIF(I14:I14,"94")</f>
        <v>0</v>
      </c>
      <c r="T23" s="104"/>
      <c r="U23" s="109" t="s">
        <v>25</v>
      </c>
      <c r="V23" s="109">
        <f>SUM(V19:V22)</f>
        <v>0</v>
      </c>
      <c r="W23" s="105"/>
    </row>
    <row r="24" spans="1:19" ht="26.25">
      <c r="A24" s="118"/>
      <c r="B24" s="119"/>
      <c r="C24" s="119"/>
      <c r="D24" s="119"/>
      <c r="E24" s="120"/>
      <c r="F24" s="121"/>
      <c r="G24" s="122"/>
      <c r="H24" s="123"/>
      <c r="I24" s="124"/>
      <c r="J24" s="125"/>
      <c r="K24" s="125"/>
      <c r="L24" s="125"/>
      <c r="M24" s="126"/>
      <c r="N24" s="127"/>
      <c r="O24" s="203"/>
      <c r="R24" s="110">
        <v>95</v>
      </c>
      <c r="S24" s="94">
        <f>COUNTIF(I14:I14,"95")</f>
        <v>0</v>
      </c>
    </row>
    <row r="25" spans="1:19" ht="26.25">
      <c r="A25" s="128"/>
      <c r="B25" s="129"/>
      <c r="C25" s="129"/>
      <c r="D25" s="129"/>
      <c r="E25" s="130"/>
      <c r="F25" s="131"/>
      <c r="I25" s="309"/>
      <c r="J25" s="306" t="s">
        <v>347</v>
      </c>
      <c r="K25" s="307"/>
      <c r="L25" s="308"/>
      <c r="M25" s="308"/>
      <c r="N25" s="132"/>
      <c r="O25" s="133"/>
      <c r="R25" s="110">
        <v>96</v>
      </c>
      <c r="S25" s="94">
        <f>COUNTIF(I14:I14,"96")</f>
        <v>0</v>
      </c>
    </row>
    <row r="26" spans="1:24" s="53" customFormat="1" ht="24">
      <c r="A26" s="171"/>
      <c r="B26" s="391"/>
      <c r="C26" s="391"/>
      <c r="D26" s="391"/>
      <c r="E26" s="391"/>
      <c r="F26" s="391"/>
      <c r="J26" s="306" t="s">
        <v>348</v>
      </c>
      <c r="K26" s="307"/>
      <c r="L26" s="308"/>
      <c r="M26" s="308"/>
      <c r="N26" s="174"/>
      <c r="O26" s="177"/>
      <c r="P26" s="42"/>
      <c r="Q26" s="97"/>
      <c r="R26" s="110">
        <v>97</v>
      </c>
      <c r="S26" s="94">
        <f>COUNTIF(I14:I14,"97")</f>
        <v>0</v>
      </c>
      <c r="T26" s="97"/>
      <c r="W26" s="97"/>
      <c r="X26" s="42"/>
    </row>
    <row r="27" spans="1:23" s="53" customFormat="1" ht="24">
      <c r="A27" s="204"/>
      <c r="B27" s="204"/>
      <c r="C27" s="204"/>
      <c r="D27" s="204"/>
      <c r="E27" s="204"/>
      <c r="F27" s="204"/>
      <c r="I27" s="393" t="s">
        <v>351</v>
      </c>
      <c r="J27" s="393"/>
      <c r="K27" s="393"/>
      <c r="L27" s="393"/>
      <c r="M27" s="393"/>
      <c r="N27" s="393"/>
      <c r="O27" s="393"/>
      <c r="P27" s="393"/>
      <c r="Q27" s="97"/>
      <c r="R27" s="110">
        <v>98</v>
      </c>
      <c r="S27" s="94">
        <f>COUNTIF(I14:I14,"98")</f>
        <v>0</v>
      </c>
      <c r="T27" s="97"/>
      <c r="W27" s="97"/>
    </row>
    <row r="28" spans="1:24" s="54" customFormat="1" ht="26.25">
      <c r="A28" s="73"/>
      <c r="B28" s="160"/>
      <c r="C28" s="160"/>
      <c r="D28" s="160"/>
      <c r="E28" s="161"/>
      <c r="F28" s="162"/>
      <c r="I28" s="53"/>
      <c r="J28" s="302"/>
      <c r="K28" s="303"/>
      <c r="L28" s="304"/>
      <c r="M28" s="305"/>
      <c r="N28" s="166"/>
      <c r="O28" s="169"/>
      <c r="P28" s="53"/>
      <c r="Q28" s="97"/>
      <c r="R28" s="110">
        <v>99</v>
      </c>
      <c r="S28" s="94">
        <f>COUNTIF(I14:I14,"99")</f>
        <v>0</v>
      </c>
      <c r="T28" s="97"/>
      <c r="W28" s="97"/>
      <c r="X28" s="53"/>
    </row>
    <row r="29" spans="1:24" s="1" customFormat="1" ht="26.25">
      <c r="A29" s="73"/>
      <c r="B29" s="160"/>
      <c r="C29" s="160"/>
      <c r="D29" s="160"/>
      <c r="E29" s="161"/>
      <c r="F29" s="162"/>
      <c r="G29" s="163"/>
      <c r="H29" s="164"/>
      <c r="I29" s="165"/>
      <c r="J29" s="166"/>
      <c r="K29" s="166"/>
      <c r="L29" s="166"/>
      <c r="M29" s="167"/>
      <c r="N29" s="168"/>
      <c r="O29" s="169"/>
      <c r="P29" s="54"/>
      <c r="Q29" s="97"/>
      <c r="R29" s="110">
        <v>100</v>
      </c>
      <c r="S29" s="94">
        <f>COUNTIF(I14:I14,"100")</f>
        <v>0</v>
      </c>
      <c r="T29" s="97"/>
      <c r="W29" s="97"/>
      <c r="X29" s="54"/>
    </row>
    <row r="30" spans="1:24" s="56" customFormat="1" ht="27" thickBot="1">
      <c r="A30" s="184"/>
      <c r="B30" s="185"/>
      <c r="C30" s="185"/>
      <c r="D30" s="185"/>
      <c r="E30" s="186"/>
      <c r="F30" s="187"/>
      <c r="G30" s="188"/>
      <c r="H30" s="189"/>
      <c r="I30" s="190"/>
      <c r="J30" s="191"/>
      <c r="K30" s="191"/>
      <c r="L30" s="191"/>
      <c r="M30" s="192"/>
      <c r="N30" s="193"/>
      <c r="O30" s="152"/>
      <c r="P30" s="78"/>
      <c r="Q30" s="112"/>
      <c r="R30" s="155" t="s">
        <v>25</v>
      </c>
      <c r="S30" s="156">
        <f>SUM(S19:S29)</f>
        <v>0</v>
      </c>
      <c r="T30" s="112"/>
      <c r="U30" s="112"/>
      <c r="V30" s="112"/>
      <c r="W30" s="112"/>
      <c r="X30" s="78"/>
    </row>
    <row r="31" spans="1:24" s="56" customFormat="1" ht="27" thickTop="1">
      <c r="A31" s="184"/>
      <c r="B31" s="185"/>
      <c r="C31" s="185"/>
      <c r="D31" s="185"/>
      <c r="E31" s="186"/>
      <c r="F31" s="187"/>
      <c r="G31" s="188"/>
      <c r="H31" s="189"/>
      <c r="I31" s="190"/>
      <c r="J31" s="191"/>
      <c r="K31" s="191"/>
      <c r="L31" s="191"/>
      <c r="M31" s="192"/>
      <c r="N31" s="193"/>
      <c r="O31" s="152"/>
      <c r="P31" s="78"/>
      <c r="Q31" s="112"/>
      <c r="R31" s="112"/>
      <c r="S31" s="112"/>
      <c r="T31" s="112"/>
      <c r="U31" s="112"/>
      <c r="V31" s="112"/>
      <c r="W31" s="112"/>
      <c r="X31" s="78"/>
    </row>
    <row r="32" spans="1:24" s="56" customFormat="1" ht="26.25">
      <c r="A32" s="184"/>
      <c r="B32" s="185"/>
      <c r="C32" s="185"/>
      <c r="D32" s="185"/>
      <c r="E32" s="186"/>
      <c r="F32" s="187"/>
      <c r="G32" s="188"/>
      <c r="H32" s="189"/>
      <c r="I32" s="190"/>
      <c r="J32" s="191"/>
      <c r="K32" s="191"/>
      <c r="L32" s="191"/>
      <c r="M32" s="192"/>
      <c r="N32" s="193"/>
      <c r="O32" s="152"/>
      <c r="P32" s="78"/>
      <c r="Q32" s="112"/>
      <c r="R32" s="92"/>
      <c r="S32" s="92"/>
      <c r="T32" s="375"/>
      <c r="U32" s="378"/>
      <c r="V32" s="378"/>
      <c r="W32" s="112"/>
      <c r="X32" s="78"/>
    </row>
    <row r="33" spans="1:24" s="56" customFormat="1" ht="26.25">
      <c r="A33" s="184"/>
      <c r="B33" s="185"/>
      <c r="C33" s="185"/>
      <c r="D33" s="185"/>
      <c r="E33" s="186"/>
      <c r="F33" s="187"/>
      <c r="G33" s="188"/>
      <c r="H33" s="189"/>
      <c r="I33" s="190"/>
      <c r="J33" s="191"/>
      <c r="K33" s="191"/>
      <c r="L33" s="191"/>
      <c r="M33" s="192"/>
      <c r="N33" s="193"/>
      <c r="O33" s="152"/>
      <c r="P33" s="78"/>
      <c r="Q33" s="112"/>
      <c r="R33" s="154"/>
      <c r="S33" s="92"/>
      <c r="T33" s="375"/>
      <c r="U33" s="157"/>
      <c r="V33" s="92"/>
      <c r="W33" s="112"/>
      <c r="X33" s="78"/>
    </row>
    <row r="34" spans="1:24" s="56" customFormat="1" ht="26.25">
      <c r="A34" s="184"/>
      <c r="B34" s="185"/>
      <c r="C34" s="185"/>
      <c r="D34" s="185"/>
      <c r="E34" s="186"/>
      <c r="F34" s="187"/>
      <c r="G34" s="188"/>
      <c r="H34" s="189"/>
      <c r="I34" s="190"/>
      <c r="J34" s="191"/>
      <c r="K34" s="191"/>
      <c r="L34" s="191"/>
      <c r="M34" s="192"/>
      <c r="N34" s="193"/>
      <c r="O34" s="152"/>
      <c r="P34" s="78"/>
      <c r="Q34" s="112"/>
      <c r="R34" s="154"/>
      <c r="S34" s="92"/>
      <c r="T34" s="375"/>
      <c r="U34" s="157"/>
      <c r="V34" s="92"/>
      <c r="W34" s="112"/>
      <c r="X34" s="78"/>
    </row>
    <row r="35" spans="1:24" s="56" customFormat="1" ht="26.25">
      <c r="A35" s="184"/>
      <c r="B35" s="185"/>
      <c r="C35" s="185"/>
      <c r="D35" s="185"/>
      <c r="E35" s="186"/>
      <c r="F35" s="187"/>
      <c r="G35" s="188"/>
      <c r="H35" s="189"/>
      <c r="I35" s="190"/>
      <c r="J35" s="191"/>
      <c r="K35" s="191"/>
      <c r="L35" s="191"/>
      <c r="M35" s="192"/>
      <c r="N35" s="193"/>
      <c r="O35" s="152"/>
      <c r="P35" s="78"/>
      <c r="Q35" s="112"/>
      <c r="R35" s="154"/>
      <c r="S35" s="92"/>
      <c r="T35" s="104"/>
      <c r="U35" s="157"/>
      <c r="V35" s="92"/>
      <c r="W35" s="112"/>
      <c r="X35" s="78"/>
    </row>
    <row r="36" spans="1:24" s="56" customFormat="1" ht="26.25">
      <c r="A36" s="184"/>
      <c r="B36" s="185"/>
      <c r="C36" s="185"/>
      <c r="D36" s="185"/>
      <c r="E36" s="186"/>
      <c r="F36" s="187"/>
      <c r="G36" s="188"/>
      <c r="H36" s="189"/>
      <c r="I36" s="190"/>
      <c r="J36" s="191"/>
      <c r="K36" s="191"/>
      <c r="L36" s="191"/>
      <c r="M36" s="192"/>
      <c r="N36" s="193"/>
      <c r="O36" s="152"/>
      <c r="P36" s="78"/>
      <c r="Q36" s="112"/>
      <c r="R36" s="154"/>
      <c r="S36" s="92"/>
      <c r="T36" s="104"/>
      <c r="U36" s="157"/>
      <c r="V36" s="92"/>
      <c r="W36" s="112"/>
      <c r="X36" s="78"/>
    </row>
    <row r="37" spans="1:24" s="56" customFormat="1" ht="26.25">
      <c r="A37" s="184"/>
      <c r="B37" s="392"/>
      <c r="C37" s="392"/>
      <c r="D37" s="392"/>
      <c r="E37" s="392"/>
      <c r="F37" s="392"/>
      <c r="G37" s="197"/>
      <c r="H37" s="198"/>
      <c r="I37" s="197"/>
      <c r="J37" s="199"/>
      <c r="K37" s="199"/>
      <c r="L37" s="199"/>
      <c r="M37" s="200"/>
      <c r="N37" s="201"/>
      <c r="O37" s="202"/>
      <c r="P37" s="78"/>
      <c r="Q37" s="112"/>
      <c r="R37" s="154"/>
      <c r="S37" s="92"/>
      <c r="T37" s="104"/>
      <c r="U37" s="378"/>
      <c r="V37" s="378"/>
      <c r="W37" s="112"/>
      <c r="X37" s="78"/>
    </row>
    <row r="38" spans="1:24" s="56" customFormat="1" ht="2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90"/>
      <c r="P38" s="78"/>
      <c r="Q38" s="112"/>
      <c r="R38" s="154"/>
      <c r="S38" s="92"/>
      <c r="T38" s="112"/>
      <c r="U38" s="112"/>
      <c r="V38" s="112"/>
      <c r="W38" s="112"/>
      <c r="X38" s="78"/>
    </row>
    <row r="39" spans="1:24" s="56" customFormat="1" ht="2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90"/>
      <c r="P39" s="78"/>
      <c r="Q39" s="112"/>
      <c r="R39" s="154"/>
      <c r="S39" s="92"/>
      <c r="T39" s="112"/>
      <c r="U39" s="112"/>
      <c r="V39" s="112"/>
      <c r="W39" s="112"/>
      <c r="X39" s="78"/>
    </row>
    <row r="40" spans="1:24" s="56" customFormat="1" ht="23.2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90"/>
      <c r="P40" s="78"/>
      <c r="Q40" s="112"/>
      <c r="R40" s="154"/>
      <c r="S40" s="92"/>
      <c r="T40" s="112"/>
      <c r="U40" s="204"/>
      <c r="V40" s="204"/>
      <c r="W40" s="112"/>
      <c r="X40" s="78"/>
    </row>
    <row r="41" spans="1:24" s="56" customFormat="1" ht="26.25">
      <c r="A41" s="184"/>
      <c r="B41" s="140"/>
      <c r="C41" s="140"/>
      <c r="D41" s="140"/>
      <c r="E41" s="141"/>
      <c r="F41" s="142"/>
      <c r="G41" s="194"/>
      <c r="H41" s="144"/>
      <c r="I41" s="145"/>
      <c r="J41" s="146"/>
      <c r="K41" s="146"/>
      <c r="L41" s="146"/>
      <c r="M41" s="195"/>
      <c r="N41" s="196"/>
      <c r="O41" s="149"/>
      <c r="P41" s="78"/>
      <c r="Q41" s="112"/>
      <c r="R41" s="154"/>
      <c r="S41" s="92"/>
      <c r="T41" s="112"/>
      <c r="U41" s="204"/>
      <c r="V41" s="204"/>
      <c r="W41" s="112"/>
      <c r="X41" s="78"/>
    </row>
    <row r="42" spans="1:24" s="56" customFormat="1" ht="26.25">
      <c r="A42" s="184"/>
      <c r="B42" s="140"/>
      <c r="C42" s="140"/>
      <c r="D42" s="140"/>
      <c r="E42" s="141"/>
      <c r="F42" s="142"/>
      <c r="G42" s="143"/>
      <c r="H42" s="144"/>
      <c r="I42" s="145"/>
      <c r="J42" s="146"/>
      <c r="K42" s="146"/>
      <c r="L42" s="146"/>
      <c r="M42" s="147"/>
      <c r="N42" s="148"/>
      <c r="O42" s="149"/>
      <c r="P42" s="78"/>
      <c r="Q42" s="112"/>
      <c r="R42" s="154"/>
      <c r="S42" s="92"/>
      <c r="T42" s="112"/>
      <c r="U42" s="318"/>
      <c r="V42" s="318"/>
      <c r="W42" s="112"/>
      <c r="X42" s="78"/>
    </row>
    <row r="43" spans="1:24" s="56" customFormat="1" ht="26.25">
      <c r="A43" s="184"/>
      <c r="B43" s="185"/>
      <c r="C43" s="185"/>
      <c r="D43" s="185"/>
      <c r="E43" s="186"/>
      <c r="F43" s="187"/>
      <c r="G43" s="188"/>
      <c r="H43" s="189"/>
      <c r="I43" s="190"/>
      <c r="J43" s="191"/>
      <c r="K43" s="191"/>
      <c r="L43" s="191"/>
      <c r="M43" s="192"/>
      <c r="N43" s="193"/>
      <c r="O43" s="152"/>
      <c r="P43" s="78"/>
      <c r="Q43" s="112"/>
      <c r="R43" s="154"/>
      <c r="S43" s="92"/>
      <c r="T43" s="112"/>
      <c r="U43" s="379"/>
      <c r="V43" s="379"/>
      <c r="W43" s="112"/>
      <c r="X43" s="78"/>
    </row>
    <row r="44" spans="1:24" s="56" customFormat="1" ht="26.25">
      <c r="A44" s="73"/>
      <c r="E44" s="74"/>
      <c r="F44" s="151"/>
      <c r="G44" s="75"/>
      <c r="H44" s="57"/>
      <c r="I44" s="55"/>
      <c r="J44" s="92"/>
      <c r="K44" s="92"/>
      <c r="L44" s="92"/>
      <c r="M44" s="76"/>
      <c r="N44" s="77"/>
      <c r="O44" s="81"/>
      <c r="P44" s="78"/>
      <c r="Q44" s="112"/>
      <c r="R44" s="92"/>
      <c r="S44" s="92"/>
      <c r="T44" s="112"/>
      <c r="U44" s="112"/>
      <c r="V44" s="112"/>
      <c r="W44" s="112"/>
      <c r="X44" s="78"/>
    </row>
    <row r="45" spans="1:24" s="56" customFormat="1" ht="26.25">
      <c r="A45" s="73"/>
      <c r="E45" s="74"/>
      <c r="F45" s="151"/>
      <c r="G45" s="75"/>
      <c r="H45" s="57"/>
      <c r="I45" s="55"/>
      <c r="J45" s="92"/>
      <c r="K45" s="92"/>
      <c r="L45" s="92"/>
      <c r="M45" s="76"/>
      <c r="N45" s="77"/>
      <c r="O45" s="81"/>
      <c r="P45" s="78"/>
      <c r="Q45" s="112"/>
      <c r="R45" s="112"/>
      <c r="S45" s="112"/>
      <c r="T45" s="112"/>
      <c r="U45" s="112"/>
      <c r="V45" s="112"/>
      <c r="W45" s="112"/>
      <c r="X45" s="78"/>
    </row>
    <row r="46" spans="1:24" s="56" customFormat="1" ht="26.25">
      <c r="A46" s="73"/>
      <c r="E46" s="74"/>
      <c r="F46" s="151"/>
      <c r="G46" s="75"/>
      <c r="H46" s="57"/>
      <c r="I46" s="55"/>
      <c r="J46" s="92"/>
      <c r="K46" s="92"/>
      <c r="L46" s="92"/>
      <c r="M46" s="76"/>
      <c r="N46" s="77"/>
      <c r="O46" s="81"/>
      <c r="P46" s="78"/>
      <c r="Q46" s="112"/>
      <c r="R46" s="92"/>
      <c r="S46" s="92"/>
      <c r="T46" s="375"/>
      <c r="U46" s="378"/>
      <c r="V46" s="378"/>
      <c r="W46" s="112"/>
      <c r="X46" s="78"/>
    </row>
    <row r="47" spans="1:24" s="56" customFormat="1" ht="26.25">
      <c r="A47" s="73"/>
      <c r="B47" s="391"/>
      <c r="C47" s="391"/>
      <c r="D47" s="391"/>
      <c r="E47" s="391"/>
      <c r="F47" s="391"/>
      <c r="G47" s="172"/>
      <c r="H47" s="173"/>
      <c r="I47" s="172"/>
      <c r="J47" s="174"/>
      <c r="K47" s="174"/>
      <c r="L47" s="174"/>
      <c r="M47" s="175"/>
      <c r="N47" s="176"/>
      <c r="O47" s="177"/>
      <c r="P47" s="78"/>
      <c r="Q47" s="112"/>
      <c r="R47" s="154"/>
      <c r="S47" s="92"/>
      <c r="T47" s="375"/>
      <c r="U47" s="157"/>
      <c r="V47" s="92"/>
      <c r="W47" s="112"/>
      <c r="X47" s="78"/>
    </row>
    <row r="48" spans="15:24" s="56" customFormat="1" ht="21">
      <c r="O48" s="55"/>
      <c r="P48" s="78"/>
      <c r="Q48" s="112"/>
      <c r="R48" s="154"/>
      <c r="S48" s="92"/>
      <c r="T48" s="375"/>
      <c r="U48" s="157"/>
      <c r="V48" s="92"/>
      <c r="W48" s="112"/>
      <c r="X48" s="78"/>
    </row>
    <row r="49" spans="15:24" s="56" customFormat="1" ht="21">
      <c r="O49" s="55"/>
      <c r="P49" s="78"/>
      <c r="Q49" s="112"/>
      <c r="R49" s="154"/>
      <c r="S49" s="92"/>
      <c r="T49" s="104"/>
      <c r="U49" s="157"/>
      <c r="V49" s="92"/>
      <c r="W49" s="112"/>
      <c r="X49" s="78"/>
    </row>
    <row r="50" spans="1:24" s="56" customFormat="1" ht="26.25">
      <c r="A50" s="73"/>
      <c r="B50" s="160"/>
      <c r="C50" s="160"/>
      <c r="D50" s="160"/>
      <c r="E50" s="161"/>
      <c r="F50" s="162"/>
      <c r="G50" s="178"/>
      <c r="H50" s="164"/>
      <c r="I50" s="165"/>
      <c r="J50" s="166"/>
      <c r="K50" s="166"/>
      <c r="L50" s="166"/>
      <c r="M50" s="179"/>
      <c r="N50" s="180"/>
      <c r="O50" s="169"/>
      <c r="P50" s="78"/>
      <c r="Q50" s="112"/>
      <c r="R50" s="154"/>
      <c r="S50" s="92"/>
      <c r="T50" s="104"/>
      <c r="U50" s="157"/>
      <c r="V50" s="92"/>
      <c r="W50" s="112"/>
      <c r="X50" s="78"/>
    </row>
    <row r="51" spans="1:24" s="56" customFormat="1" ht="26.25">
      <c r="A51" s="73"/>
      <c r="B51" s="160"/>
      <c r="C51" s="160"/>
      <c r="D51" s="160"/>
      <c r="E51" s="161"/>
      <c r="F51" s="162"/>
      <c r="G51" s="163"/>
      <c r="H51" s="164"/>
      <c r="I51" s="165"/>
      <c r="J51" s="166"/>
      <c r="K51" s="166"/>
      <c r="L51" s="166"/>
      <c r="M51" s="167"/>
      <c r="N51" s="168"/>
      <c r="O51" s="169"/>
      <c r="P51" s="78"/>
      <c r="Q51" s="112"/>
      <c r="R51" s="154"/>
      <c r="S51" s="92"/>
      <c r="T51" s="104"/>
      <c r="U51" s="378"/>
      <c r="V51" s="378"/>
      <c r="W51" s="112"/>
      <c r="X51" s="78"/>
    </row>
    <row r="52" spans="1:24" s="56" customFormat="1" ht="26.25">
      <c r="A52" s="73"/>
      <c r="C52" s="42"/>
      <c r="D52" s="42"/>
      <c r="E52" s="47"/>
      <c r="F52" s="48"/>
      <c r="G52" s="49"/>
      <c r="H52" s="50"/>
      <c r="I52" s="51"/>
      <c r="J52" s="94"/>
      <c r="K52" s="94"/>
      <c r="L52" s="94"/>
      <c r="M52" s="52"/>
      <c r="N52" s="85"/>
      <c r="O52" s="86"/>
      <c r="P52" s="78"/>
      <c r="Q52" s="112"/>
      <c r="R52" s="154"/>
      <c r="S52" s="92"/>
      <c r="T52" s="112"/>
      <c r="U52" s="112"/>
      <c r="V52" s="112"/>
      <c r="W52" s="112"/>
      <c r="X52" s="78"/>
    </row>
    <row r="53" spans="1:24" s="56" customFormat="1" ht="26.25">
      <c r="A53" s="73"/>
      <c r="C53" s="42"/>
      <c r="D53" s="42"/>
      <c r="E53" s="47"/>
      <c r="F53" s="48"/>
      <c r="G53" s="49"/>
      <c r="H53" s="50"/>
      <c r="I53" s="51"/>
      <c r="J53" s="94"/>
      <c r="K53" s="94"/>
      <c r="L53" s="94"/>
      <c r="M53" s="52"/>
      <c r="N53" s="85"/>
      <c r="O53" s="86"/>
      <c r="P53" s="78"/>
      <c r="Q53" s="112"/>
      <c r="R53" s="154"/>
      <c r="S53" s="92"/>
      <c r="T53" s="112"/>
      <c r="U53" s="112"/>
      <c r="V53" s="112"/>
      <c r="W53" s="112"/>
      <c r="X53" s="78"/>
    </row>
    <row r="54" spans="1:24" s="56" customFormat="1" ht="26.25">
      <c r="A54" s="73"/>
      <c r="C54" s="42"/>
      <c r="D54" s="42"/>
      <c r="E54" s="47"/>
      <c r="F54" s="48"/>
      <c r="G54" s="49"/>
      <c r="H54" s="50"/>
      <c r="I54" s="51"/>
      <c r="J54" s="94"/>
      <c r="K54" s="94"/>
      <c r="L54" s="94"/>
      <c r="M54" s="52"/>
      <c r="N54" s="85"/>
      <c r="O54" s="86"/>
      <c r="P54" s="78"/>
      <c r="Q54" s="112"/>
      <c r="R54" s="154"/>
      <c r="S54" s="92"/>
      <c r="T54" s="112"/>
      <c r="U54" s="204"/>
      <c r="V54" s="204"/>
      <c r="W54" s="112"/>
      <c r="X54" s="78"/>
    </row>
    <row r="55" spans="1:24" s="56" customFormat="1" ht="26.25">
      <c r="A55" s="73"/>
      <c r="C55" s="42"/>
      <c r="D55" s="42"/>
      <c r="E55" s="47"/>
      <c r="F55" s="48"/>
      <c r="G55" s="49"/>
      <c r="H55" s="50"/>
      <c r="I55" s="51"/>
      <c r="J55" s="94"/>
      <c r="K55" s="94"/>
      <c r="L55" s="94"/>
      <c r="M55" s="52"/>
      <c r="N55" s="85"/>
      <c r="O55" s="86"/>
      <c r="P55" s="78"/>
      <c r="Q55" s="112"/>
      <c r="R55" s="154"/>
      <c r="S55" s="92"/>
      <c r="T55" s="112"/>
      <c r="U55" s="204"/>
      <c r="V55" s="204"/>
      <c r="W55" s="112"/>
      <c r="X55" s="78"/>
    </row>
    <row r="56" spans="1:24" s="56" customFormat="1" ht="26.25">
      <c r="A56" s="73"/>
      <c r="C56" s="42"/>
      <c r="D56" s="42"/>
      <c r="E56" s="47"/>
      <c r="F56" s="48"/>
      <c r="G56" s="49"/>
      <c r="H56" s="50"/>
      <c r="I56" s="51"/>
      <c r="J56" s="94"/>
      <c r="K56" s="94"/>
      <c r="L56" s="94"/>
      <c r="M56" s="52"/>
      <c r="N56" s="85"/>
      <c r="O56" s="86"/>
      <c r="P56" s="78"/>
      <c r="Q56" s="112"/>
      <c r="R56" s="154"/>
      <c r="S56" s="92"/>
      <c r="T56" s="112"/>
      <c r="U56" s="318"/>
      <c r="V56" s="318"/>
      <c r="W56" s="112"/>
      <c r="X56" s="78"/>
    </row>
    <row r="57" spans="1:24" s="56" customFormat="1" ht="26.25">
      <c r="A57" s="73"/>
      <c r="C57" s="42"/>
      <c r="D57" s="42"/>
      <c r="E57" s="47"/>
      <c r="F57" s="48"/>
      <c r="G57" s="49"/>
      <c r="H57" s="50"/>
      <c r="I57" s="51"/>
      <c r="J57" s="94"/>
      <c r="K57" s="94"/>
      <c r="L57" s="94"/>
      <c r="M57" s="52"/>
      <c r="N57" s="85"/>
      <c r="O57" s="86"/>
      <c r="P57" s="78"/>
      <c r="Q57" s="112"/>
      <c r="R57" s="154"/>
      <c r="S57" s="92"/>
      <c r="T57" s="112"/>
      <c r="U57" s="379"/>
      <c r="V57" s="379"/>
      <c r="W57" s="112"/>
      <c r="X57" s="78"/>
    </row>
    <row r="58" spans="1:24" s="56" customFormat="1" ht="26.25">
      <c r="A58" s="73"/>
      <c r="C58" s="42"/>
      <c r="D58" s="42"/>
      <c r="E58" s="47"/>
      <c r="F58" s="48"/>
      <c r="G58" s="49"/>
      <c r="H58" s="50"/>
      <c r="I58" s="51"/>
      <c r="J58" s="94"/>
      <c r="K58" s="94"/>
      <c r="L58" s="94"/>
      <c r="M58" s="52"/>
      <c r="N58" s="85"/>
      <c r="O58" s="86"/>
      <c r="P58" s="78"/>
      <c r="Q58" s="112"/>
      <c r="R58" s="92"/>
      <c r="S58" s="92"/>
      <c r="T58" s="112"/>
      <c r="U58" s="112"/>
      <c r="V58" s="112"/>
      <c r="W58" s="112"/>
      <c r="X58" s="78"/>
    </row>
    <row r="59" spans="1:24" s="56" customFormat="1" ht="26.25">
      <c r="A59" s="73"/>
      <c r="C59" s="42"/>
      <c r="D59" s="42"/>
      <c r="E59" s="47"/>
      <c r="F59" s="48"/>
      <c r="G59" s="49"/>
      <c r="H59" s="50"/>
      <c r="I59" s="51"/>
      <c r="J59" s="94"/>
      <c r="K59" s="94"/>
      <c r="L59" s="94"/>
      <c r="M59" s="52"/>
      <c r="N59" s="85"/>
      <c r="O59" s="86"/>
      <c r="P59" s="78"/>
      <c r="Q59" s="112"/>
      <c r="R59" s="112"/>
      <c r="S59" s="112"/>
      <c r="T59" s="112"/>
      <c r="U59" s="112"/>
      <c r="V59" s="112"/>
      <c r="W59" s="112"/>
      <c r="X59" s="78"/>
    </row>
    <row r="60" spans="1:24" s="56" customFormat="1" ht="26.25">
      <c r="A60" s="73"/>
      <c r="C60" s="42"/>
      <c r="D60" s="42"/>
      <c r="E60" s="47"/>
      <c r="F60" s="48"/>
      <c r="G60" s="49"/>
      <c r="H60" s="50"/>
      <c r="I60" s="51"/>
      <c r="J60" s="94"/>
      <c r="K60" s="94"/>
      <c r="L60" s="94"/>
      <c r="M60" s="52"/>
      <c r="N60" s="85"/>
      <c r="O60" s="86"/>
      <c r="P60" s="78"/>
      <c r="Q60" s="112"/>
      <c r="R60" s="92"/>
      <c r="S60" s="92"/>
      <c r="T60" s="375"/>
      <c r="U60" s="378"/>
      <c r="V60" s="378"/>
      <c r="W60" s="112"/>
      <c r="X60" s="78"/>
    </row>
    <row r="61" spans="1:24" s="56" customFormat="1" ht="26.25">
      <c r="A61" s="73"/>
      <c r="C61" s="42"/>
      <c r="D61" s="42"/>
      <c r="E61" s="47"/>
      <c r="F61" s="48"/>
      <c r="G61" s="49"/>
      <c r="H61" s="50"/>
      <c r="I61" s="51"/>
      <c r="J61" s="94"/>
      <c r="K61" s="94"/>
      <c r="L61" s="94"/>
      <c r="M61" s="52"/>
      <c r="N61" s="85"/>
      <c r="O61" s="86"/>
      <c r="P61" s="78"/>
      <c r="Q61" s="112"/>
      <c r="R61" s="154"/>
      <c r="S61" s="92"/>
      <c r="T61" s="375"/>
      <c r="U61" s="157"/>
      <c r="V61" s="92"/>
      <c r="W61" s="112"/>
      <c r="X61" s="78"/>
    </row>
    <row r="62" spans="1:24" s="56" customFormat="1" ht="26.25">
      <c r="A62" s="73"/>
      <c r="C62" s="42"/>
      <c r="D62" s="42"/>
      <c r="E62" s="47"/>
      <c r="F62" s="48"/>
      <c r="G62" s="49"/>
      <c r="H62" s="50"/>
      <c r="I62" s="51"/>
      <c r="J62" s="94"/>
      <c r="K62" s="94"/>
      <c r="L62" s="94"/>
      <c r="M62" s="52"/>
      <c r="N62" s="85"/>
      <c r="O62" s="86"/>
      <c r="P62" s="78"/>
      <c r="Q62" s="112"/>
      <c r="R62" s="154"/>
      <c r="S62" s="92"/>
      <c r="T62" s="375"/>
      <c r="U62" s="157"/>
      <c r="V62" s="92"/>
      <c r="W62" s="112"/>
      <c r="X62" s="78"/>
    </row>
    <row r="63" spans="1:24" s="56" customFormat="1" ht="26.25">
      <c r="A63" s="73"/>
      <c r="C63" s="42"/>
      <c r="D63" s="42"/>
      <c r="E63" s="47"/>
      <c r="F63" s="48"/>
      <c r="G63" s="49"/>
      <c r="H63" s="50"/>
      <c r="I63" s="51"/>
      <c r="J63" s="94"/>
      <c r="K63" s="94"/>
      <c r="L63" s="94"/>
      <c r="M63" s="52"/>
      <c r="N63" s="85"/>
      <c r="O63" s="86"/>
      <c r="P63" s="78"/>
      <c r="Q63" s="112"/>
      <c r="R63" s="154"/>
      <c r="S63" s="92"/>
      <c r="T63" s="104"/>
      <c r="U63" s="157"/>
      <c r="V63" s="92"/>
      <c r="W63" s="112"/>
      <c r="X63" s="78"/>
    </row>
    <row r="64" spans="1:24" s="56" customFormat="1" ht="26.25">
      <c r="A64" s="73"/>
      <c r="C64" s="42"/>
      <c r="D64" s="42"/>
      <c r="E64" s="47"/>
      <c r="F64" s="48"/>
      <c r="G64" s="49"/>
      <c r="H64" s="50"/>
      <c r="I64" s="51"/>
      <c r="J64" s="94"/>
      <c r="K64" s="94"/>
      <c r="L64" s="94"/>
      <c r="M64" s="52"/>
      <c r="N64" s="85"/>
      <c r="O64" s="86"/>
      <c r="P64" s="78"/>
      <c r="Q64" s="112"/>
      <c r="R64" s="154"/>
      <c r="S64" s="92"/>
      <c r="T64" s="104"/>
      <c r="U64" s="157"/>
      <c r="V64" s="92"/>
      <c r="W64" s="112"/>
      <c r="X64" s="78"/>
    </row>
    <row r="65" spans="1:24" s="56" customFormat="1" ht="26.25">
      <c r="A65" s="73"/>
      <c r="C65" s="42"/>
      <c r="D65" s="42"/>
      <c r="E65" s="47"/>
      <c r="F65" s="48"/>
      <c r="G65" s="49"/>
      <c r="H65" s="50"/>
      <c r="I65" s="51"/>
      <c r="J65" s="94"/>
      <c r="K65" s="94"/>
      <c r="L65" s="94"/>
      <c r="M65" s="52"/>
      <c r="N65" s="85"/>
      <c r="O65" s="86"/>
      <c r="P65" s="78"/>
      <c r="Q65" s="112"/>
      <c r="R65" s="154"/>
      <c r="S65" s="92"/>
      <c r="T65" s="104"/>
      <c r="U65" s="378"/>
      <c r="V65" s="378"/>
      <c r="W65" s="112"/>
      <c r="X65" s="78"/>
    </row>
    <row r="66" spans="1:24" s="56" customFormat="1" ht="26.25">
      <c r="A66" s="73"/>
      <c r="C66" s="42"/>
      <c r="D66" s="42"/>
      <c r="E66" s="47"/>
      <c r="F66" s="48"/>
      <c r="G66" s="49"/>
      <c r="H66" s="50"/>
      <c r="I66" s="51"/>
      <c r="J66" s="94"/>
      <c r="K66" s="94"/>
      <c r="L66" s="94"/>
      <c r="M66" s="52"/>
      <c r="N66" s="85"/>
      <c r="O66" s="86"/>
      <c r="P66" s="78"/>
      <c r="Q66" s="112"/>
      <c r="R66" s="154"/>
      <c r="S66" s="92"/>
      <c r="T66" s="112"/>
      <c r="U66" s="112"/>
      <c r="V66" s="112"/>
      <c r="W66" s="112"/>
      <c r="X66" s="78"/>
    </row>
    <row r="67" spans="1:24" s="56" customFormat="1" ht="26.25">
      <c r="A67" s="150"/>
      <c r="C67" s="42"/>
      <c r="D67" s="42"/>
      <c r="E67" s="47"/>
      <c r="F67" s="48"/>
      <c r="G67" s="49"/>
      <c r="H67" s="50"/>
      <c r="I67" s="51"/>
      <c r="J67" s="94"/>
      <c r="K67" s="94"/>
      <c r="L67" s="94"/>
      <c r="M67" s="52"/>
      <c r="N67" s="85"/>
      <c r="O67" s="86"/>
      <c r="P67" s="78"/>
      <c r="Q67" s="112"/>
      <c r="R67" s="154"/>
      <c r="S67" s="92"/>
      <c r="T67" s="112"/>
      <c r="U67" s="112"/>
      <c r="V67" s="112"/>
      <c r="W67" s="112"/>
      <c r="X67" s="78"/>
    </row>
    <row r="68" spans="1:24" s="56" customFormat="1" ht="26.25">
      <c r="A68" s="150"/>
      <c r="C68" s="42"/>
      <c r="D68" s="42"/>
      <c r="E68" s="47"/>
      <c r="F68" s="48"/>
      <c r="G68" s="49"/>
      <c r="H68" s="50"/>
      <c r="I68" s="51"/>
      <c r="J68" s="94"/>
      <c r="K68" s="94"/>
      <c r="L68" s="94"/>
      <c r="M68" s="52"/>
      <c r="N68" s="85"/>
      <c r="O68" s="86"/>
      <c r="P68" s="78"/>
      <c r="Q68" s="112"/>
      <c r="R68" s="154"/>
      <c r="S68" s="92"/>
      <c r="T68" s="112"/>
      <c r="U68" s="204"/>
      <c r="V68" s="204"/>
      <c r="W68" s="112"/>
      <c r="X68" s="78"/>
    </row>
    <row r="69" spans="1:24" s="56" customFormat="1" ht="26.25">
      <c r="A69" s="73"/>
      <c r="C69" s="42"/>
      <c r="D69" s="42"/>
      <c r="E69" s="47"/>
      <c r="F69" s="48"/>
      <c r="G69" s="49"/>
      <c r="H69" s="50"/>
      <c r="I69" s="51"/>
      <c r="J69" s="94"/>
      <c r="K69" s="94"/>
      <c r="L69" s="94"/>
      <c r="M69" s="52"/>
      <c r="N69" s="85"/>
      <c r="O69" s="86"/>
      <c r="P69" s="78"/>
      <c r="Q69" s="112"/>
      <c r="R69" s="154"/>
      <c r="S69" s="92"/>
      <c r="T69" s="112"/>
      <c r="U69" s="204"/>
      <c r="V69" s="204"/>
      <c r="W69" s="112"/>
      <c r="X69" s="78"/>
    </row>
    <row r="70" spans="1:24" s="56" customFormat="1" ht="26.25">
      <c r="A70" s="73"/>
      <c r="C70" s="42"/>
      <c r="D70" s="42"/>
      <c r="E70" s="47"/>
      <c r="F70" s="48"/>
      <c r="G70" s="49"/>
      <c r="H70" s="50"/>
      <c r="I70" s="51"/>
      <c r="J70" s="94"/>
      <c r="K70" s="94"/>
      <c r="L70" s="94"/>
      <c r="M70" s="52"/>
      <c r="N70" s="85"/>
      <c r="O70" s="86"/>
      <c r="P70" s="78"/>
      <c r="Q70" s="112"/>
      <c r="R70" s="154"/>
      <c r="S70" s="92"/>
      <c r="T70" s="112"/>
      <c r="U70" s="318"/>
      <c r="V70" s="318"/>
      <c r="W70" s="112"/>
      <c r="X70" s="78"/>
    </row>
    <row r="71" spans="1:24" s="56" customFormat="1" ht="26.25">
      <c r="A71" s="73"/>
      <c r="C71" s="42"/>
      <c r="D71" s="42"/>
      <c r="E71" s="47"/>
      <c r="F71" s="48"/>
      <c r="G71" s="49"/>
      <c r="H71" s="50"/>
      <c r="I71" s="51"/>
      <c r="J71" s="94"/>
      <c r="K71" s="94"/>
      <c r="L71" s="94"/>
      <c r="M71" s="52"/>
      <c r="N71" s="85"/>
      <c r="O71" s="86"/>
      <c r="P71" s="78"/>
      <c r="Q71" s="112"/>
      <c r="R71" s="154"/>
      <c r="S71" s="92"/>
      <c r="T71" s="112"/>
      <c r="U71" s="379"/>
      <c r="V71" s="379"/>
      <c r="W71" s="112"/>
      <c r="X71" s="78"/>
    </row>
    <row r="72" spans="1:24" s="56" customFormat="1" ht="26.25">
      <c r="A72" s="84"/>
      <c r="B72" s="42"/>
      <c r="C72" s="42"/>
      <c r="D72" s="42"/>
      <c r="E72" s="47"/>
      <c r="F72" s="48"/>
      <c r="G72" s="49"/>
      <c r="H72" s="50"/>
      <c r="I72" s="51"/>
      <c r="J72" s="94"/>
      <c r="K72" s="94"/>
      <c r="L72" s="94"/>
      <c r="M72" s="52"/>
      <c r="N72" s="85"/>
      <c r="O72" s="86"/>
      <c r="P72" s="78"/>
      <c r="Q72" s="112"/>
      <c r="R72" s="92"/>
      <c r="S72" s="92"/>
      <c r="T72" s="112"/>
      <c r="U72" s="112"/>
      <c r="V72" s="112"/>
      <c r="W72" s="112"/>
      <c r="X72" s="78"/>
    </row>
    <row r="73" spans="1:24" s="56" customFormat="1" ht="26.25">
      <c r="A73" s="84"/>
      <c r="B73" s="42"/>
      <c r="C73" s="42"/>
      <c r="D73" s="42"/>
      <c r="E73" s="47"/>
      <c r="F73" s="48"/>
      <c r="G73" s="49"/>
      <c r="H73" s="50"/>
      <c r="I73" s="51"/>
      <c r="J73" s="94"/>
      <c r="K73" s="94"/>
      <c r="L73" s="94"/>
      <c r="M73" s="52"/>
      <c r="N73" s="85"/>
      <c r="O73" s="86"/>
      <c r="P73" s="78"/>
      <c r="Q73" s="112"/>
      <c r="R73" s="112"/>
      <c r="S73" s="112"/>
      <c r="T73" s="112"/>
      <c r="U73" s="112"/>
      <c r="V73" s="112"/>
      <c r="W73" s="112"/>
      <c r="X73" s="78"/>
    </row>
    <row r="74" spans="1:24" s="56" customFormat="1" ht="26.25">
      <c r="A74" s="84"/>
      <c r="B74" s="42"/>
      <c r="C74" s="42"/>
      <c r="D74" s="42"/>
      <c r="E74" s="47"/>
      <c r="F74" s="48"/>
      <c r="G74" s="49"/>
      <c r="H74" s="50"/>
      <c r="I74" s="51"/>
      <c r="J74" s="94"/>
      <c r="K74" s="94"/>
      <c r="L74" s="94"/>
      <c r="M74" s="52"/>
      <c r="N74" s="85"/>
      <c r="O74" s="86"/>
      <c r="P74" s="78"/>
      <c r="Q74" s="112"/>
      <c r="R74" s="92"/>
      <c r="S74" s="92"/>
      <c r="T74" s="112"/>
      <c r="U74" s="93"/>
      <c r="V74" s="93"/>
      <c r="W74" s="112"/>
      <c r="X74" s="78"/>
    </row>
    <row r="75" spans="1:24" s="56" customFormat="1" ht="26.25">
      <c r="A75" s="84"/>
      <c r="B75" s="42"/>
      <c r="C75" s="42"/>
      <c r="D75" s="42"/>
      <c r="E75" s="47"/>
      <c r="F75" s="48"/>
      <c r="G75" s="49"/>
      <c r="H75" s="50"/>
      <c r="I75" s="51"/>
      <c r="J75" s="94"/>
      <c r="K75" s="94"/>
      <c r="L75" s="94"/>
      <c r="M75" s="52"/>
      <c r="N75" s="85"/>
      <c r="O75" s="86"/>
      <c r="P75" s="78"/>
      <c r="Q75" s="112"/>
      <c r="R75" s="154"/>
      <c r="S75" s="92"/>
      <c r="T75" s="112"/>
      <c r="U75" s="157"/>
      <c r="V75" s="92"/>
      <c r="W75" s="112"/>
      <c r="X75" s="78"/>
    </row>
    <row r="76" spans="1:24" s="56" customFormat="1" ht="26.25">
      <c r="A76" s="84"/>
      <c r="B76" s="42"/>
      <c r="C76" s="42"/>
      <c r="D76" s="42"/>
      <c r="E76" s="47"/>
      <c r="F76" s="48"/>
      <c r="G76" s="49"/>
      <c r="H76" s="50"/>
      <c r="I76" s="51"/>
      <c r="J76" s="94"/>
      <c r="K76" s="94"/>
      <c r="L76" s="94"/>
      <c r="M76" s="52"/>
      <c r="N76" s="85"/>
      <c r="O76" s="86"/>
      <c r="P76" s="78"/>
      <c r="Q76" s="112"/>
      <c r="R76" s="154"/>
      <c r="S76" s="92"/>
      <c r="T76" s="112"/>
      <c r="U76" s="157"/>
      <c r="V76" s="92"/>
      <c r="W76" s="112"/>
      <c r="X76" s="78"/>
    </row>
    <row r="77" spans="1:24" s="56" customFormat="1" ht="26.25">
      <c r="A77" s="84"/>
      <c r="B77" s="42"/>
      <c r="C77" s="42"/>
      <c r="D77" s="42"/>
      <c r="E77" s="47"/>
      <c r="F77" s="48"/>
      <c r="G77" s="49"/>
      <c r="H77" s="50"/>
      <c r="I77" s="51"/>
      <c r="J77" s="94"/>
      <c r="K77" s="94"/>
      <c r="L77" s="94"/>
      <c r="M77" s="52"/>
      <c r="N77" s="85"/>
      <c r="O77" s="86"/>
      <c r="P77" s="78"/>
      <c r="Q77" s="112"/>
      <c r="R77" s="154"/>
      <c r="S77" s="92"/>
      <c r="T77" s="112"/>
      <c r="U77" s="157"/>
      <c r="V77" s="92"/>
      <c r="W77" s="112"/>
      <c r="X77" s="78"/>
    </row>
    <row r="78" spans="1:24" s="56" customFormat="1" ht="26.25">
      <c r="A78" s="84"/>
      <c r="B78" s="42"/>
      <c r="C78" s="42"/>
      <c r="D78" s="42"/>
      <c r="E78" s="47"/>
      <c r="F78" s="48"/>
      <c r="G78" s="49"/>
      <c r="H78" s="50"/>
      <c r="I78" s="51"/>
      <c r="J78" s="94"/>
      <c r="K78" s="94"/>
      <c r="L78" s="94"/>
      <c r="M78" s="52"/>
      <c r="N78" s="85"/>
      <c r="O78" s="86"/>
      <c r="P78" s="78"/>
      <c r="Q78" s="112"/>
      <c r="R78" s="154"/>
      <c r="S78" s="92"/>
      <c r="T78" s="112"/>
      <c r="U78" s="157"/>
      <c r="V78" s="92"/>
      <c r="W78" s="112"/>
      <c r="X78" s="78"/>
    </row>
    <row r="79" spans="1:24" s="56" customFormat="1" ht="26.25">
      <c r="A79" s="84"/>
      <c r="B79" s="42"/>
      <c r="C79" s="42"/>
      <c r="D79" s="42"/>
      <c r="E79" s="47"/>
      <c r="F79" s="48"/>
      <c r="G79" s="49"/>
      <c r="H79" s="50"/>
      <c r="I79" s="51"/>
      <c r="J79" s="94"/>
      <c r="K79" s="94"/>
      <c r="L79" s="94"/>
      <c r="M79" s="52"/>
      <c r="N79" s="85"/>
      <c r="O79" s="86"/>
      <c r="P79" s="78"/>
      <c r="Q79" s="112"/>
      <c r="R79" s="154"/>
      <c r="S79" s="92"/>
      <c r="T79" s="112"/>
      <c r="U79" s="93"/>
      <c r="V79" s="93"/>
      <c r="W79" s="112"/>
      <c r="X79" s="78"/>
    </row>
    <row r="80" spans="1:24" s="56" customFormat="1" ht="26.25">
      <c r="A80" s="84"/>
      <c r="B80" s="42"/>
      <c r="C80" s="42"/>
      <c r="D80" s="42"/>
      <c r="E80" s="47"/>
      <c r="F80" s="48"/>
      <c r="G80" s="49"/>
      <c r="H80" s="50"/>
      <c r="I80" s="51"/>
      <c r="J80" s="94"/>
      <c r="K80" s="94"/>
      <c r="L80" s="94"/>
      <c r="M80" s="52"/>
      <c r="N80" s="85"/>
      <c r="O80" s="86"/>
      <c r="P80" s="79"/>
      <c r="Q80" s="97"/>
      <c r="R80" s="154"/>
      <c r="S80" s="92"/>
      <c r="T80" s="112"/>
      <c r="U80" s="112"/>
      <c r="V80" s="158"/>
      <c r="W80" s="97"/>
      <c r="X80" s="79"/>
    </row>
    <row r="81" spans="1:24" s="56" customFormat="1" ht="26.25">
      <c r="A81" s="84"/>
      <c r="B81" s="42"/>
      <c r="C81" s="42"/>
      <c r="D81" s="42"/>
      <c r="E81" s="47"/>
      <c r="F81" s="48"/>
      <c r="G81" s="49"/>
      <c r="H81" s="50"/>
      <c r="I81" s="51"/>
      <c r="J81" s="94"/>
      <c r="K81" s="94"/>
      <c r="L81" s="94"/>
      <c r="M81" s="52"/>
      <c r="N81" s="85"/>
      <c r="O81" s="86"/>
      <c r="P81" s="78"/>
      <c r="Q81" s="97"/>
      <c r="R81" s="154"/>
      <c r="S81" s="92"/>
      <c r="T81" s="112"/>
      <c r="U81" s="112"/>
      <c r="V81" s="112"/>
      <c r="W81" s="97"/>
      <c r="X81" s="78"/>
    </row>
    <row r="82" spans="16:24" ht="26.25">
      <c r="P82" s="56"/>
      <c r="R82" s="154"/>
      <c r="S82" s="92"/>
      <c r="T82" s="112"/>
      <c r="U82" s="112"/>
      <c r="V82" s="112"/>
      <c r="X82" s="56"/>
    </row>
    <row r="83" spans="16:24" ht="26.25">
      <c r="P83" s="56"/>
      <c r="Q83" s="112"/>
      <c r="R83" s="154"/>
      <c r="S83" s="92"/>
      <c r="T83" s="112"/>
      <c r="U83" s="112"/>
      <c r="V83" s="112"/>
      <c r="W83" s="112"/>
      <c r="X83" s="56"/>
    </row>
    <row r="84" spans="1:23" s="56" customFormat="1" ht="26.25">
      <c r="A84" s="84"/>
      <c r="B84" s="42"/>
      <c r="C84" s="42"/>
      <c r="D84" s="42"/>
      <c r="E84" s="47"/>
      <c r="F84" s="48"/>
      <c r="G84" s="49"/>
      <c r="H84" s="50"/>
      <c r="I84" s="51"/>
      <c r="J84" s="94"/>
      <c r="K84" s="94"/>
      <c r="L84" s="94"/>
      <c r="M84" s="52"/>
      <c r="N84" s="85"/>
      <c r="O84" s="86"/>
      <c r="Q84" s="97"/>
      <c r="R84" s="154"/>
      <c r="S84" s="92"/>
      <c r="T84" s="112"/>
      <c r="U84" s="112"/>
      <c r="V84" s="112"/>
      <c r="W84" s="97"/>
    </row>
    <row r="85" spans="16:24" ht="26.25">
      <c r="P85" s="80"/>
      <c r="R85" s="92"/>
      <c r="S85" s="92"/>
      <c r="T85" s="112"/>
      <c r="U85" s="112"/>
      <c r="V85" s="112"/>
      <c r="X85" s="80"/>
    </row>
    <row r="86" spans="16:24" ht="26.25">
      <c r="P86" s="80"/>
      <c r="X86" s="80"/>
    </row>
    <row r="87" spans="16:24" ht="26.25">
      <c r="P87" s="80"/>
      <c r="X87" s="80"/>
    </row>
    <row r="88" spans="16:24" ht="26.25">
      <c r="P88" s="80"/>
      <c r="X88" s="80"/>
    </row>
    <row r="89" spans="16:24" ht="26.25">
      <c r="P89" s="80"/>
      <c r="X89" s="80"/>
    </row>
    <row r="91" spans="18:23" ht="26.25">
      <c r="R91" s="154"/>
      <c r="S91" s="92"/>
      <c r="T91" s="112"/>
      <c r="U91" s="112"/>
      <c r="V91" s="112"/>
      <c r="W91" s="112"/>
    </row>
    <row r="92" spans="18:23" ht="26.25">
      <c r="R92" s="154"/>
      <c r="S92" s="92"/>
      <c r="T92" s="112"/>
      <c r="U92" s="112"/>
      <c r="V92" s="112"/>
      <c r="W92" s="112"/>
    </row>
    <row r="93" spans="16:24" ht="26.25">
      <c r="P93" s="56"/>
      <c r="R93" s="154"/>
      <c r="S93" s="92"/>
      <c r="T93" s="112"/>
      <c r="U93" s="112"/>
      <c r="V93" s="112"/>
      <c r="W93" s="112"/>
      <c r="X93" s="56"/>
    </row>
    <row r="94" spans="18:23" ht="26.25">
      <c r="R94" s="154"/>
      <c r="S94" s="92"/>
      <c r="T94" s="112"/>
      <c r="U94" s="112"/>
      <c r="V94" s="112"/>
      <c r="W94" s="112"/>
    </row>
    <row r="95" spans="17:23" ht="26.25">
      <c r="Q95" s="112"/>
      <c r="R95" s="154"/>
      <c r="S95" s="92"/>
      <c r="T95" s="112"/>
      <c r="U95" s="112"/>
      <c r="V95" s="112"/>
      <c r="W95" s="112"/>
    </row>
    <row r="96" spans="18:23" ht="26.25">
      <c r="R96" s="154"/>
      <c r="S96" s="92"/>
      <c r="T96" s="112"/>
      <c r="U96" s="112"/>
      <c r="V96" s="112"/>
      <c r="W96" s="112"/>
    </row>
    <row r="97" spans="18:23" ht="26.25">
      <c r="R97" s="154"/>
      <c r="S97" s="92"/>
      <c r="T97" s="112"/>
      <c r="U97" s="112"/>
      <c r="V97" s="112"/>
      <c r="W97" s="112"/>
    </row>
    <row r="98" spans="18:23" ht="26.25">
      <c r="R98" s="154"/>
      <c r="S98" s="92"/>
      <c r="T98" s="112"/>
      <c r="U98" s="112"/>
      <c r="V98" s="112"/>
      <c r="W98" s="112"/>
    </row>
    <row r="99" spans="18:23" ht="26.25">
      <c r="R99" s="154"/>
      <c r="S99" s="92"/>
      <c r="T99" s="112"/>
      <c r="U99" s="112"/>
      <c r="V99" s="112"/>
      <c r="W99" s="112"/>
    </row>
    <row r="100" spans="1:24" s="56" customFormat="1" ht="26.25">
      <c r="A100" s="84"/>
      <c r="B100" s="42"/>
      <c r="C100" s="42"/>
      <c r="D100" s="42"/>
      <c r="E100" s="47"/>
      <c r="F100" s="48"/>
      <c r="G100" s="49"/>
      <c r="H100" s="50"/>
      <c r="I100" s="51"/>
      <c r="J100" s="94"/>
      <c r="K100" s="94"/>
      <c r="L100" s="94"/>
      <c r="M100" s="52"/>
      <c r="N100" s="85"/>
      <c r="O100" s="86"/>
      <c r="P100" s="42"/>
      <c r="Q100" s="97"/>
      <c r="R100" s="154"/>
      <c r="S100" s="92"/>
      <c r="T100" s="112"/>
      <c r="U100" s="112"/>
      <c r="V100" s="112"/>
      <c r="W100" s="112"/>
      <c r="X100" s="42"/>
    </row>
    <row r="101" spans="1:24" s="56" customFormat="1" ht="26.25">
      <c r="A101" s="84"/>
      <c r="B101" s="42"/>
      <c r="C101" s="42"/>
      <c r="D101" s="42"/>
      <c r="E101" s="47"/>
      <c r="F101" s="48"/>
      <c r="G101" s="49"/>
      <c r="H101" s="50"/>
      <c r="I101" s="51"/>
      <c r="J101" s="94"/>
      <c r="K101" s="94"/>
      <c r="L101" s="94"/>
      <c r="M101" s="52"/>
      <c r="N101" s="85"/>
      <c r="O101" s="86"/>
      <c r="P101" s="42"/>
      <c r="Q101" s="97"/>
      <c r="R101" s="154"/>
      <c r="S101" s="92"/>
      <c r="T101" s="112"/>
      <c r="U101" s="112"/>
      <c r="V101" s="112"/>
      <c r="W101" s="112"/>
      <c r="X101" s="42"/>
    </row>
    <row r="102" spans="1:24" s="56" customFormat="1" ht="26.25">
      <c r="A102" s="84"/>
      <c r="B102" s="42"/>
      <c r="C102" s="42"/>
      <c r="D102" s="42"/>
      <c r="E102" s="47"/>
      <c r="F102" s="48"/>
      <c r="G102" s="49"/>
      <c r="H102" s="50"/>
      <c r="I102" s="51"/>
      <c r="J102" s="94"/>
      <c r="K102" s="94"/>
      <c r="L102" s="94"/>
      <c r="M102" s="52"/>
      <c r="N102" s="85"/>
      <c r="O102" s="86"/>
      <c r="P102" s="42"/>
      <c r="Q102" s="97"/>
      <c r="R102" s="154"/>
      <c r="S102" s="92"/>
      <c r="T102" s="112"/>
      <c r="U102" s="112"/>
      <c r="V102" s="112"/>
      <c r="W102" s="112"/>
      <c r="X102" s="42"/>
    </row>
    <row r="103" spans="1:24" s="56" customFormat="1" ht="26.25">
      <c r="A103" s="84"/>
      <c r="B103" s="42"/>
      <c r="C103" s="42"/>
      <c r="D103" s="42"/>
      <c r="E103" s="47"/>
      <c r="F103" s="48"/>
      <c r="G103" s="49"/>
      <c r="H103" s="50"/>
      <c r="I103" s="51"/>
      <c r="J103" s="94"/>
      <c r="K103" s="94"/>
      <c r="L103" s="94"/>
      <c r="M103" s="52"/>
      <c r="N103" s="85"/>
      <c r="O103" s="86"/>
      <c r="P103" s="42"/>
      <c r="Q103" s="112"/>
      <c r="R103" s="154"/>
      <c r="S103" s="92"/>
      <c r="T103" s="112"/>
      <c r="U103" s="112"/>
      <c r="V103" s="112"/>
      <c r="W103" s="112"/>
      <c r="X103" s="42"/>
    </row>
    <row r="104" spans="1:24" s="56" customFormat="1" ht="26.25">
      <c r="A104" s="84"/>
      <c r="B104" s="42"/>
      <c r="C104" s="42"/>
      <c r="D104" s="42"/>
      <c r="E104" s="47"/>
      <c r="F104" s="48"/>
      <c r="G104" s="49"/>
      <c r="H104" s="50"/>
      <c r="I104" s="51"/>
      <c r="J104" s="94"/>
      <c r="K104" s="94"/>
      <c r="L104" s="94"/>
      <c r="M104" s="52"/>
      <c r="N104" s="85"/>
      <c r="O104" s="86"/>
      <c r="P104" s="42"/>
      <c r="Q104" s="97"/>
      <c r="R104" s="154"/>
      <c r="S104" s="92"/>
      <c r="T104" s="112"/>
      <c r="U104" s="112"/>
      <c r="V104" s="112"/>
      <c r="W104" s="112"/>
      <c r="X104" s="42"/>
    </row>
    <row r="105" spans="1:24" s="80" customFormat="1" ht="26.25">
      <c r="A105" s="84"/>
      <c r="B105" s="42"/>
      <c r="C105" s="42"/>
      <c r="D105" s="42"/>
      <c r="E105" s="47"/>
      <c r="F105" s="48"/>
      <c r="G105" s="49"/>
      <c r="H105" s="50"/>
      <c r="I105" s="51"/>
      <c r="J105" s="94"/>
      <c r="K105" s="94"/>
      <c r="L105" s="94"/>
      <c r="M105" s="52"/>
      <c r="N105" s="85"/>
      <c r="O105" s="86"/>
      <c r="P105" s="56"/>
      <c r="Q105" s="97"/>
      <c r="R105" s="154"/>
      <c r="S105" s="92"/>
      <c r="T105" s="112"/>
      <c r="U105" s="112"/>
      <c r="V105" s="112"/>
      <c r="W105" s="112"/>
      <c r="X105" s="56"/>
    </row>
    <row r="106" spans="1:24" s="80" customFormat="1" ht="26.25">
      <c r="A106" s="84"/>
      <c r="B106" s="42"/>
      <c r="C106" s="42"/>
      <c r="D106" s="42"/>
      <c r="E106" s="47"/>
      <c r="F106" s="48"/>
      <c r="G106" s="49"/>
      <c r="H106" s="50"/>
      <c r="I106" s="51"/>
      <c r="J106" s="94"/>
      <c r="K106" s="94"/>
      <c r="L106" s="94"/>
      <c r="M106" s="52"/>
      <c r="N106" s="85"/>
      <c r="O106" s="86"/>
      <c r="P106" s="42"/>
      <c r="Q106" s="97"/>
      <c r="R106" s="154"/>
      <c r="S106" s="92"/>
      <c r="T106" s="112"/>
      <c r="U106" s="112"/>
      <c r="V106" s="112"/>
      <c r="W106" s="112"/>
      <c r="X106" s="42"/>
    </row>
    <row r="107" spans="1:24" s="80" customFormat="1" ht="26.25">
      <c r="A107" s="84"/>
      <c r="B107" s="42"/>
      <c r="C107" s="42"/>
      <c r="D107" s="42"/>
      <c r="E107" s="47"/>
      <c r="F107" s="48"/>
      <c r="G107" s="49"/>
      <c r="H107" s="50"/>
      <c r="I107" s="51"/>
      <c r="J107" s="94"/>
      <c r="K107" s="94"/>
      <c r="L107" s="94"/>
      <c r="M107" s="52"/>
      <c r="N107" s="85"/>
      <c r="O107" s="86"/>
      <c r="P107" s="42"/>
      <c r="Q107" s="97"/>
      <c r="R107" s="154"/>
      <c r="S107" s="92"/>
      <c r="T107" s="112"/>
      <c r="U107" s="112"/>
      <c r="V107" s="112"/>
      <c r="W107" s="112"/>
      <c r="X107" s="42"/>
    </row>
    <row r="108" spans="1:24" s="80" customFormat="1" ht="26.25">
      <c r="A108" s="84"/>
      <c r="B108" s="42"/>
      <c r="C108" s="42"/>
      <c r="D108" s="42"/>
      <c r="E108" s="47"/>
      <c r="F108" s="48"/>
      <c r="G108" s="49"/>
      <c r="H108" s="50"/>
      <c r="I108" s="51"/>
      <c r="J108" s="94"/>
      <c r="K108" s="94"/>
      <c r="L108" s="94"/>
      <c r="M108" s="52"/>
      <c r="N108" s="85"/>
      <c r="O108" s="86"/>
      <c r="P108" s="42"/>
      <c r="Q108" s="97"/>
      <c r="R108" s="154"/>
      <c r="S108" s="92"/>
      <c r="T108" s="112"/>
      <c r="U108" s="112"/>
      <c r="V108" s="112"/>
      <c r="W108" s="112"/>
      <c r="X108" s="42"/>
    </row>
    <row r="109" spans="1:24" s="80" customFormat="1" ht="26.25">
      <c r="A109" s="84"/>
      <c r="B109" s="42"/>
      <c r="C109" s="42"/>
      <c r="D109" s="42"/>
      <c r="E109" s="47"/>
      <c r="F109" s="48"/>
      <c r="G109" s="49"/>
      <c r="H109" s="50"/>
      <c r="I109" s="51"/>
      <c r="J109" s="94"/>
      <c r="K109" s="94"/>
      <c r="L109" s="94"/>
      <c r="M109" s="52"/>
      <c r="N109" s="85"/>
      <c r="O109" s="86"/>
      <c r="P109" s="42"/>
      <c r="Q109" s="112"/>
      <c r="R109" s="154"/>
      <c r="S109" s="92"/>
      <c r="T109" s="112"/>
      <c r="U109" s="112"/>
      <c r="V109" s="112"/>
      <c r="W109" s="112"/>
      <c r="X109" s="42"/>
    </row>
    <row r="110" spans="18:23" ht="26.25">
      <c r="R110" s="154"/>
      <c r="S110" s="92"/>
      <c r="T110" s="112"/>
      <c r="U110" s="112"/>
      <c r="V110" s="112"/>
      <c r="W110" s="112"/>
    </row>
    <row r="111" spans="18:23" ht="26.25">
      <c r="R111" s="154"/>
      <c r="S111" s="92"/>
      <c r="T111" s="112"/>
      <c r="U111" s="112"/>
      <c r="V111" s="112"/>
      <c r="W111" s="112"/>
    </row>
    <row r="112" spans="17:23" ht="26.25">
      <c r="Q112" s="112"/>
      <c r="R112" s="154"/>
      <c r="S112" s="92"/>
      <c r="T112" s="112"/>
      <c r="U112" s="112"/>
      <c r="V112" s="112"/>
      <c r="W112" s="112"/>
    </row>
    <row r="113" spans="18:23" ht="26.25">
      <c r="R113" s="154"/>
      <c r="S113" s="92"/>
      <c r="T113" s="112"/>
      <c r="U113" s="112"/>
      <c r="V113" s="112"/>
      <c r="W113" s="112"/>
    </row>
    <row r="114" spans="1:23" s="56" customFormat="1" ht="26.25">
      <c r="A114" s="84"/>
      <c r="B114" s="42"/>
      <c r="C114" s="42"/>
      <c r="D114" s="42"/>
      <c r="E114" s="47"/>
      <c r="F114" s="48"/>
      <c r="G114" s="49"/>
      <c r="H114" s="50"/>
      <c r="I114" s="51"/>
      <c r="J114" s="94"/>
      <c r="K114" s="94"/>
      <c r="L114" s="94"/>
      <c r="M114" s="52"/>
      <c r="N114" s="85"/>
      <c r="O114" s="86"/>
      <c r="Q114" s="97"/>
      <c r="R114" s="154"/>
      <c r="S114" s="92"/>
      <c r="T114" s="112"/>
      <c r="U114" s="112"/>
      <c r="V114" s="112"/>
      <c r="W114" s="112"/>
    </row>
    <row r="115" spans="18:23" ht="26.25">
      <c r="R115" s="154"/>
      <c r="S115" s="92"/>
      <c r="T115" s="112"/>
      <c r="U115" s="112"/>
      <c r="V115" s="112"/>
      <c r="W115" s="112"/>
    </row>
    <row r="116" spans="18:23" ht="26.25">
      <c r="R116" s="154"/>
      <c r="S116" s="92"/>
      <c r="T116" s="112"/>
      <c r="U116" s="112"/>
      <c r="V116" s="112"/>
      <c r="W116" s="112"/>
    </row>
    <row r="117" spans="18:23" ht="26.25">
      <c r="R117" s="154"/>
      <c r="S117" s="92"/>
      <c r="T117" s="112"/>
      <c r="U117" s="112"/>
      <c r="V117" s="112"/>
      <c r="W117" s="112"/>
    </row>
    <row r="118" spans="17:23" ht="26.25">
      <c r="Q118" s="112"/>
      <c r="R118" s="112"/>
      <c r="S118" s="112"/>
      <c r="T118" s="112"/>
      <c r="U118" s="112"/>
      <c r="V118" s="112"/>
      <c r="W118" s="112"/>
    </row>
    <row r="119" spans="17:23" ht="26.25">
      <c r="Q119" s="112"/>
      <c r="R119" s="112"/>
      <c r="S119" s="112"/>
      <c r="T119" s="112"/>
      <c r="U119" s="112"/>
      <c r="V119" s="112"/>
      <c r="W119" s="112"/>
    </row>
    <row r="120" spans="17:23" ht="26.25">
      <c r="Q120" s="112"/>
      <c r="R120" s="112"/>
      <c r="S120" s="112"/>
      <c r="T120" s="112"/>
      <c r="U120" s="112"/>
      <c r="V120" s="112"/>
      <c r="W120" s="112"/>
    </row>
    <row r="121" spans="17:23" ht="26.25">
      <c r="Q121" s="112"/>
      <c r="R121" s="112"/>
      <c r="S121" s="112"/>
      <c r="T121" s="112"/>
      <c r="U121" s="112"/>
      <c r="V121" s="112"/>
      <c r="W121" s="112"/>
    </row>
    <row r="122" spans="17:23" ht="26.25">
      <c r="Q122" s="112"/>
      <c r="R122" s="112"/>
      <c r="S122" s="112"/>
      <c r="T122" s="112"/>
      <c r="U122" s="112"/>
      <c r="V122" s="112"/>
      <c r="W122" s="112"/>
    </row>
    <row r="123" spans="1:23" s="56" customFormat="1" ht="26.25">
      <c r="A123" s="84"/>
      <c r="B123" s="42"/>
      <c r="C123" s="42"/>
      <c r="D123" s="42"/>
      <c r="E123" s="47"/>
      <c r="F123" s="48"/>
      <c r="G123" s="49"/>
      <c r="H123" s="50"/>
      <c r="I123" s="51"/>
      <c r="J123" s="94"/>
      <c r="K123" s="94"/>
      <c r="L123" s="94"/>
      <c r="M123" s="52"/>
      <c r="N123" s="85"/>
      <c r="O123" s="86"/>
      <c r="Q123" s="112"/>
      <c r="R123" s="92"/>
      <c r="S123" s="92"/>
      <c r="T123" s="112"/>
      <c r="U123" s="93"/>
      <c r="V123" s="93"/>
      <c r="W123" s="112"/>
    </row>
    <row r="124" spans="1:23" s="56" customFormat="1" ht="26.25">
      <c r="A124" s="84"/>
      <c r="B124" s="42"/>
      <c r="C124" s="42"/>
      <c r="D124" s="42"/>
      <c r="E124" s="47"/>
      <c r="F124" s="48"/>
      <c r="G124" s="49"/>
      <c r="H124" s="50"/>
      <c r="I124" s="51"/>
      <c r="J124" s="94"/>
      <c r="K124" s="94"/>
      <c r="L124" s="94"/>
      <c r="M124" s="52"/>
      <c r="N124" s="85"/>
      <c r="O124" s="86"/>
      <c r="Q124" s="97"/>
      <c r="R124" s="154"/>
      <c r="S124" s="92"/>
      <c r="T124" s="112"/>
      <c r="U124" s="157"/>
      <c r="V124" s="92"/>
      <c r="W124" s="112"/>
    </row>
    <row r="125" spans="16:24" ht="26.25">
      <c r="P125" s="56"/>
      <c r="R125" s="154"/>
      <c r="S125" s="92"/>
      <c r="T125" s="112"/>
      <c r="U125" s="157"/>
      <c r="V125" s="92"/>
      <c r="W125" s="112"/>
      <c r="X125" s="56"/>
    </row>
    <row r="126" spans="16:24" ht="26.25">
      <c r="P126" s="56"/>
      <c r="R126" s="154"/>
      <c r="S126" s="92"/>
      <c r="T126" s="112"/>
      <c r="U126" s="157"/>
      <c r="V126" s="92"/>
      <c r="W126" s="112"/>
      <c r="X126" s="56"/>
    </row>
    <row r="127" spans="16:24" ht="26.25">
      <c r="P127" s="56"/>
      <c r="R127" s="154"/>
      <c r="S127" s="92"/>
      <c r="T127" s="112"/>
      <c r="U127" s="157"/>
      <c r="V127" s="92"/>
      <c r="W127" s="112"/>
      <c r="X127" s="56"/>
    </row>
    <row r="128" spans="16:24" ht="26.25">
      <c r="P128" s="56"/>
      <c r="R128" s="154"/>
      <c r="S128" s="92"/>
      <c r="T128" s="112"/>
      <c r="U128" s="93"/>
      <c r="V128" s="93"/>
      <c r="W128" s="112"/>
      <c r="X128" s="56"/>
    </row>
    <row r="129" spans="16:24" ht="26.25">
      <c r="P129" s="56"/>
      <c r="R129" s="154"/>
      <c r="S129" s="92"/>
      <c r="T129" s="112"/>
      <c r="U129" s="112"/>
      <c r="V129" s="158"/>
      <c r="W129" s="112"/>
      <c r="X129" s="56"/>
    </row>
    <row r="130" spans="16:24" ht="26.25">
      <c r="P130" s="56"/>
      <c r="Q130" s="134"/>
      <c r="R130" s="154"/>
      <c r="S130" s="92"/>
      <c r="T130" s="112"/>
      <c r="U130" s="112"/>
      <c r="V130" s="112"/>
      <c r="W130" s="112"/>
      <c r="X130" s="56"/>
    </row>
    <row r="131" spans="16:24" ht="26.25">
      <c r="P131" s="56"/>
      <c r="R131" s="154"/>
      <c r="S131" s="92"/>
      <c r="T131" s="112"/>
      <c r="U131" s="112"/>
      <c r="V131" s="112"/>
      <c r="W131" s="112"/>
      <c r="X131" s="56"/>
    </row>
    <row r="132" spans="16:24" ht="26.25">
      <c r="P132" s="56"/>
      <c r="R132" s="154"/>
      <c r="S132" s="92"/>
      <c r="T132" s="112"/>
      <c r="U132" s="112"/>
      <c r="V132" s="112"/>
      <c r="W132" s="112"/>
      <c r="X132" s="56"/>
    </row>
    <row r="133" spans="18:24" ht="26.25">
      <c r="R133" s="154"/>
      <c r="S133" s="92"/>
      <c r="T133" s="112"/>
      <c r="U133" s="112"/>
      <c r="V133" s="112"/>
      <c r="W133" s="112"/>
      <c r="X133" s="56"/>
    </row>
    <row r="134" spans="1:23" s="56" customFormat="1" ht="26.25">
      <c r="A134" s="84"/>
      <c r="B134" s="42"/>
      <c r="C134" s="42"/>
      <c r="D134" s="42"/>
      <c r="E134" s="47"/>
      <c r="F134" s="48"/>
      <c r="G134" s="49"/>
      <c r="H134" s="50"/>
      <c r="I134" s="51"/>
      <c r="J134" s="94"/>
      <c r="K134" s="94"/>
      <c r="L134" s="94"/>
      <c r="M134" s="52"/>
      <c r="N134" s="85"/>
      <c r="O134" s="86"/>
      <c r="P134" s="42"/>
      <c r="Q134" s="97"/>
      <c r="R134" s="154"/>
      <c r="S134" s="92"/>
      <c r="T134" s="112"/>
      <c r="U134" s="112"/>
      <c r="V134" s="112"/>
      <c r="W134" s="112"/>
    </row>
    <row r="135" spans="1:23" s="56" customFormat="1" ht="26.25">
      <c r="A135" s="84"/>
      <c r="B135" s="42"/>
      <c r="C135" s="42"/>
      <c r="D135" s="42"/>
      <c r="E135" s="47"/>
      <c r="F135" s="48"/>
      <c r="G135" s="49"/>
      <c r="H135" s="50"/>
      <c r="I135" s="51"/>
      <c r="J135" s="94"/>
      <c r="K135" s="94"/>
      <c r="L135" s="94"/>
      <c r="M135" s="52"/>
      <c r="N135" s="85"/>
      <c r="O135" s="86"/>
      <c r="P135" s="42"/>
      <c r="Q135" s="97"/>
      <c r="R135" s="154"/>
      <c r="S135" s="92"/>
      <c r="T135" s="112"/>
      <c r="U135" s="112"/>
      <c r="V135" s="112"/>
      <c r="W135" s="112"/>
    </row>
    <row r="136" spans="1:23" s="56" customFormat="1" ht="26.25">
      <c r="A136" s="84"/>
      <c r="B136" s="42"/>
      <c r="C136" s="42"/>
      <c r="D136" s="42"/>
      <c r="E136" s="47"/>
      <c r="F136" s="48"/>
      <c r="G136" s="49"/>
      <c r="H136" s="50"/>
      <c r="I136" s="51"/>
      <c r="J136" s="94"/>
      <c r="K136" s="94"/>
      <c r="L136" s="94"/>
      <c r="M136" s="52"/>
      <c r="N136" s="85"/>
      <c r="O136" s="86"/>
      <c r="Q136" s="97"/>
      <c r="R136" s="154"/>
      <c r="S136" s="92"/>
      <c r="T136" s="112"/>
      <c r="U136" s="112"/>
      <c r="V136" s="112"/>
      <c r="W136" s="112"/>
    </row>
    <row r="137" spans="1:24" s="56" customFormat="1" ht="26.25">
      <c r="A137" s="84"/>
      <c r="B137" s="42"/>
      <c r="C137" s="42"/>
      <c r="D137" s="42"/>
      <c r="E137" s="47"/>
      <c r="F137" s="48"/>
      <c r="G137" s="49"/>
      <c r="H137" s="50"/>
      <c r="I137" s="51"/>
      <c r="J137" s="94"/>
      <c r="K137" s="94"/>
      <c r="L137" s="94"/>
      <c r="M137" s="52"/>
      <c r="N137" s="85"/>
      <c r="O137" s="86"/>
      <c r="P137" s="42"/>
      <c r="Q137" s="112"/>
      <c r="R137" s="154"/>
      <c r="S137" s="92"/>
      <c r="T137" s="112"/>
      <c r="U137" s="112"/>
      <c r="V137" s="112"/>
      <c r="W137" s="112"/>
      <c r="X137" s="42"/>
    </row>
    <row r="138" spans="1:24" s="56" customFormat="1" ht="26.25">
      <c r="A138" s="84"/>
      <c r="B138" s="42"/>
      <c r="C138" s="42"/>
      <c r="D138" s="42"/>
      <c r="E138" s="47"/>
      <c r="F138" s="48"/>
      <c r="G138" s="49"/>
      <c r="H138" s="50"/>
      <c r="I138" s="51"/>
      <c r="J138" s="94"/>
      <c r="K138" s="94"/>
      <c r="L138" s="94"/>
      <c r="M138" s="52"/>
      <c r="N138" s="85"/>
      <c r="O138" s="86"/>
      <c r="P138" s="42"/>
      <c r="Q138" s="97"/>
      <c r="R138" s="154"/>
      <c r="S138" s="92"/>
      <c r="T138" s="112"/>
      <c r="U138" s="112"/>
      <c r="V138" s="112"/>
      <c r="W138" s="112"/>
      <c r="X138" s="42"/>
    </row>
    <row r="139" spans="1:24" s="80" customFormat="1" ht="26.25">
      <c r="A139" s="84"/>
      <c r="B139" s="42"/>
      <c r="C139" s="42"/>
      <c r="D139" s="42"/>
      <c r="E139" s="47"/>
      <c r="F139" s="48"/>
      <c r="G139" s="49"/>
      <c r="H139" s="50"/>
      <c r="I139" s="51"/>
      <c r="J139" s="94"/>
      <c r="K139" s="94"/>
      <c r="L139" s="94"/>
      <c r="M139" s="52"/>
      <c r="N139" s="85"/>
      <c r="O139" s="86"/>
      <c r="P139" s="42"/>
      <c r="Q139" s="97"/>
      <c r="R139" s="154"/>
      <c r="S139" s="92"/>
      <c r="T139" s="112"/>
      <c r="U139" s="112"/>
      <c r="V139" s="112"/>
      <c r="W139" s="112"/>
      <c r="X139" s="42"/>
    </row>
    <row r="140" spans="1:24" s="80" customFormat="1" ht="26.25">
      <c r="A140" s="84"/>
      <c r="B140" s="42"/>
      <c r="C140" s="42"/>
      <c r="D140" s="42"/>
      <c r="E140" s="47"/>
      <c r="F140" s="48"/>
      <c r="G140" s="49"/>
      <c r="H140" s="50"/>
      <c r="I140" s="51"/>
      <c r="J140" s="94"/>
      <c r="K140" s="94"/>
      <c r="L140" s="94"/>
      <c r="M140" s="52"/>
      <c r="N140" s="85"/>
      <c r="O140" s="86"/>
      <c r="P140" s="42"/>
      <c r="Q140" s="97"/>
      <c r="R140" s="154"/>
      <c r="S140" s="92"/>
      <c r="T140" s="112"/>
      <c r="U140" s="112"/>
      <c r="V140" s="112"/>
      <c r="W140" s="112"/>
      <c r="X140" s="56"/>
    </row>
    <row r="141" spans="1:24" s="56" customFormat="1" ht="26.25">
      <c r="A141" s="84"/>
      <c r="B141" s="42"/>
      <c r="C141" s="42"/>
      <c r="D141" s="42"/>
      <c r="E141" s="47"/>
      <c r="F141" s="48"/>
      <c r="G141" s="49"/>
      <c r="H141" s="50"/>
      <c r="I141" s="51"/>
      <c r="J141" s="94"/>
      <c r="K141" s="94"/>
      <c r="L141" s="94"/>
      <c r="M141" s="52"/>
      <c r="N141" s="85"/>
      <c r="O141" s="86"/>
      <c r="P141" s="42"/>
      <c r="Q141" s="97"/>
      <c r="R141" s="154"/>
      <c r="S141" s="92"/>
      <c r="T141" s="112"/>
      <c r="U141" s="112"/>
      <c r="V141" s="112"/>
      <c r="W141" s="112"/>
      <c r="X141" s="42"/>
    </row>
    <row r="142" spans="1:24" s="56" customFormat="1" ht="26.25">
      <c r="A142" s="84"/>
      <c r="B142" s="42"/>
      <c r="C142" s="42"/>
      <c r="D142" s="42"/>
      <c r="E142" s="47"/>
      <c r="F142" s="48"/>
      <c r="G142" s="49"/>
      <c r="H142" s="50"/>
      <c r="I142" s="51"/>
      <c r="J142" s="94"/>
      <c r="K142" s="94"/>
      <c r="L142" s="94"/>
      <c r="M142" s="52"/>
      <c r="N142" s="85"/>
      <c r="O142" s="86"/>
      <c r="P142" s="42"/>
      <c r="Q142" s="97"/>
      <c r="R142" s="154"/>
      <c r="S142" s="92"/>
      <c r="T142" s="112"/>
      <c r="U142" s="112"/>
      <c r="V142" s="112"/>
      <c r="W142" s="112"/>
      <c r="X142" s="42"/>
    </row>
    <row r="143" spans="1:24" s="56" customFormat="1" ht="26.25">
      <c r="A143" s="84"/>
      <c r="B143" s="42"/>
      <c r="C143" s="42"/>
      <c r="D143" s="42"/>
      <c r="E143" s="47"/>
      <c r="F143" s="48"/>
      <c r="G143" s="49"/>
      <c r="H143" s="50"/>
      <c r="I143" s="51"/>
      <c r="J143" s="94"/>
      <c r="K143" s="94"/>
      <c r="L143" s="94"/>
      <c r="M143" s="52"/>
      <c r="N143" s="85"/>
      <c r="O143" s="86"/>
      <c r="P143" s="42"/>
      <c r="Q143" s="97"/>
      <c r="R143" s="154"/>
      <c r="S143" s="92"/>
      <c r="T143" s="112"/>
      <c r="U143" s="112"/>
      <c r="V143" s="112"/>
      <c r="W143" s="112"/>
      <c r="X143" s="42"/>
    </row>
    <row r="144" spans="1:24" s="56" customFormat="1" ht="26.25">
      <c r="A144" s="84"/>
      <c r="B144" s="42"/>
      <c r="C144" s="42"/>
      <c r="D144" s="42"/>
      <c r="E144" s="47"/>
      <c r="F144" s="48"/>
      <c r="G144" s="49"/>
      <c r="H144" s="50"/>
      <c r="I144" s="51"/>
      <c r="J144" s="94"/>
      <c r="K144" s="94"/>
      <c r="L144" s="94"/>
      <c r="M144" s="52"/>
      <c r="N144" s="85"/>
      <c r="O144" s="86"/>
      <c r="P144" s="42"/>
      <c r="Q144" s="97"/>
      <c r="R144" s="154"/>
      <c r="S144" s="92"/>
      <c r="T144" s="112"/>
      <c r="U144" s="112"/>
      <c r="V144" s="112"/>
      <c r="W144" s="112"/>
      <c r="X144" s="42"/>
    </row>
    <row r="145" spans="1:24" s="56" customFormat="1" ht="26.25">
      <c r="A145" s="84"/>
      <c r="B145" s="42"/>
      <c r="C145" s="42"/>
      <c r="D145" s="42"/>
      <c r="E145" s="47"/>
      <c r="F145" s="48"/>
      <c r="G145" s="49"/>
      <c r="H145" s="50"/>
      <c r="I145" s="51"/>
      <c r="J145" s="94"/>
      <c r="K145" s="94"/>
      <c r="L145" s="94"/>
      <c r="M145" s="52"/>
      <c r="N145" s="85"/>
      <c r="O145" s="86"/>
      <c r="P145" s="42"/>
      <c r="Q145" s="97"/>
      <c r="R145" s="154"/>
      <c r="S145" s="92"/>
      <c r="T145" s="112"/>
      <c r="U145" s="112"/>
      <c r="V145" s="112"/>
      <c r="W145" s="112"/>
      <c r="X145" s="42"/>
    </row>
    <row r="146" spans="1:24" s="56" customFormat="1" ht="26.25">
      <c r="A146" s="84"/>
      <c r="B146" s="42"/>
      <c r="C146" s="42"/>
      <c r="D146" s="42"/>
      <c r="E146" s="47"/>
      <c r="F146" s="48"/>
      <c r="G146" s="49"/>
      <c r="H146" s="50"/>
      <c r="I146" s="51"/>
      <c r="J146" s="94"/>
      <c r="K146" s="94"/>
      <c r="L146" s="94"/>
      <c r="M146" s="52"/>
      <c r="N146" s="85"/>
      <c r="O146" s="86"/>
      <c r="P146" s="42"/>
      <c r="Q146" s="97"/>
      <c r="R146" s="154"/>
      <c r="S146" s="92"/>
      <c r="T146" s="112"/>
      <c r="U146" s="112"/>
      <c r="V146" s="112"/>
      <c r="W146" s="112"/>
      <c r="X146" s="42"/>
    </row>
    <row r="147" spans="1:24" s="56" customFormat="1" ht="26.25">
      <c r="A147" s="84"/>
      <c r="B147" s="42"/>
      <c r="C147" s="42"/>
      <c r="D147" s="42"/>
      <c r="E147" s="47"/>
      <c r="F147" s="48"/>
      <c r="G147" s="49"/>
      <c r="H147" s="50"/>
      <c r="I147" s="51"/>
      <c r="J147" s="94"/>
      <c r="K147" s="94"/>
      <c r="L147" s="94"/>
      <c r="M147" s="52"/>
      <c r="N147" s="85"/>
      <c r="O147" s="86"/>
      <c r="P147" s="42"/>
      <c r="Q147" s="97"/>
      <c r="R147" s="154"/>
      <c r="S147" s="92"/>
      <c r="T147" s="112"/>
      <c r="U147" s="112"/>
      <c r="V147" s="112"/>
      <c r="W147" s="112"/>
      <c r="X147" s="42"/>
    </row>
    <row r="148" spans="1:24" s="56" customFormat="1" ht="26.25">
      <c r="A148" s="84"/>
      <c r="B148" s="42"/>
      <c r="C148" s="42"/>
      <c r="D148" s="42"/>
      <c r="E148" s="47"/>
      <c r="F148" s="48"/>
      <c r="G148" s="49"/>
      <c r="H148" s="50"/>
      <c r="I148" s="51"/>
      <c r="J148" s="94"/>
      <c r="K148" s="94"/>
      <c r="L148" s="94"/>
      <c r="M148" s="52"/>
      <c r="N148" s="85"/>
      <c r="O148" s="86"/>
      <c r="P148" s="42"/>
      <c r="Q148" s="97"/>
      <c r="R148" s="154"/>
      <c r="S148" s="92"/>
      <c r="T148" s="112"/>
      <c r="U148" s="112"/>
      <c r="V148" s="112"/>
      <c r="W148" s="112"/>
      <c r="X148" s="42"/>
    </row>
    <row r="149" spans="1:24" s="56" customFormat="1" ht="26.25">
      <c r="A149" s="84"/>
      <c r="B149" s="42"/>
      <c r="C149" s="42"/>
      <c r="D149" s="42"/>
      <c r="E149" s="47"/>
      <c r="F149" s="48"/>
      <c r="G149" s="49"/>
      <c r="H149" s="50"/>
      <c r="I149" s="51"/>
      <c r="J149" s="94"/>
      <c r="K149" s="94"/>
      <c r="L149" s="94"/>
      <c r="M149" s="52"/>
      <c r="N149" s="85"/>
      <c r="O149" s="86"/>
      <c r="Q149" s="97"/>
      <c r="R149" s="154"/>
      <c r="S149" s="92"/>
      <c r="T149" s="112"/>
      <c r="U149" s="112"/>
      <c r="V149" s="112"/>
      <c r="W149" s="112"/>
      <c r="X149" s="42"/>
    </row>
    <row r="150" spans="1:24" s="56" customFormat="1" ht="26.25">
      <c r="A150" s="84"/>
      <c r="B150" s="42"/>
      <c r="C150" s="42"/>
      <c r="D150" s="42"/>
      <c r="E150" s="47"/>
      <c r="F150" s="48"/>
      <c r="G150" s="49"/>
      <c r="H150" s="50"/>
      <c r="I150" s="51"/>
      <c r="J150" s="94"/>
      <c r="K150" s="94"/>
      <c r="L150" s="94"/>
      <c r="M150" s="52"/>
      <c r="N150" s="85"/>
      <c r="O150" s="86"/>
      <c r="P150" s="42"/>
      <c r="Q150" s="97"/>
      <c r="R150" s="154"/>
      <c r="S150" s="92"/>
      <c r="T150" s="112"/>
      <c r="U150" s="112"/>
      <c r="V150" s="112"/>
      <c r="W150" s="112"/>
      <c r="X150" s="42"/>
    </row>
    <row r="151" spans="1:24" s="56" customFormat="1" ht="26.25">
      <c r="A151" s="84"/>
      <c r="B151" s="42"/>
      <c r="C151" s="42"/>
      <c r="D151" s="42"/>
      <c r="E151" s="47"/>
      <c r="F151" s="48"/>
      <c r="G151" s="49"/>
      <c r="H151" s="50"/>
      <c r="I151" s="51"/>
      <c r="J151" s="94"/>
      <c r="K151" s="94"/>
      <c r="L151" s="94"/>
      <c r="M151" s="52"/>
      <c r="N151" s="85"/>
      <c r="O151" s="86"/>
      <c r="P151" s="42"/>
      <c r="Q151" s="97"/>
      <c r="R151" s="154"/>
      <c r="S151" s="92"/>
      <c r="T151" s="112"/>
      <c r="U151" s="112"/>
      <c r="V151" s="112"/>
      <c r="W151" s="112"/>
      <c r="X151" s="42"/>
    </row>
    <row r="152" spans="1:24" s="56" customFormat="1" ht="26.25">
      <c r="A152" s="84"/>
      <c r="B152" s="42"/>
      <c r="C152" s="42"/>
      <c r="D152" s="42"/>
      <c r="E152" s="47"/>
      <c r="F152" s="48"/>
      <c r="G152" s="49"/>
      <c r="H152" s="50"/>
      <c r="I152" s="51"/>
      <c r="J152" s="94"/>
      <c r="K152" s="94"/>
      <c r="L152" s="94"/>
      <c r="M152" s="52"/>
      <c r="N152" s="85"/>
      <c r="O152" s="86"/>
      <c r="P152" s="42"/>
      <c r="Q152" s="97"/>
      <c r="R152" s="154"/>
      <c r="S152" s="92"/>
      <c r="T152" s="112"/>
      <c r="U152" s="112"/>
      <c r="V152" s="112"/>
      <c r="W152" s="112"/>
      <c r="X152" s="42"/>
    </row>
    <row r="153" spans="1:23" s="56" customFormat="1" ht="26.25">
      <c r="A153" s="84"/>
      <c r="B153" s="42"/>
      <c r="C153" s="42"/>
      <c r="D153" s="42"/>
      <c r="E153" s="47"/>
      <c r="F153" s="48"/>
      <c r="G153" s="49"/>
      <c r="H153" s="50"/>
      <c r="I153" s="51"/>
      <c r="J153" s="94"/>
      <c r="K153" s="94"/>
      <c r="L153" s="94"/>
      <c r="M153" s="52"/>
      <c r="N153" s="85"/>
      <c r="O153" s="86"/>
      <c r="P153" s="42"/>
      <c r="Q153" s="97"/>
      <c r="R153" s="154"/>
      <c r="S153" s="92"/>
      <c r="T153" s="112"/>
      <c r="U153" s="112"/>
      <c r="V153" s="112"/>
      <c r="W153" s="112"/>
    </row>
    <row r="154" spans="1:24" s="56" customFormat="1" ht="26.25">
      <c r="A154" s="84"/>
      <c r="B154" s="42"/>
      <c r="C154" s="42"/>
      <c r="D154" s="42"/>
      <c r="E154" s="47"/>
      <c r="F154" s="48"/>
      <c r="G154" s="49"/>
      <c r="H154" s="50"/>
      <c r="I154" s="51"/>
      <c r="J154" s="94"/>
      <c r="K154" s="94"/>
      <c r="L154" s="94"/>
      <c r="M154" s="52"/>
      <c r="N154" s="85"/>
      <c r="O154" s="86"/>
      <c r="P154" s="42"/>
      <c r="Q154" s="97"/>
      <c r="R154" s="154"/>
      <c r="S154" s="92"/>
      <c r="T154" s="112"/>
      <c r="U154" s="112"/>
      <c r="V154" s="112"/>
      <c r="W154" s="112"/>
      <c r="X154" s="42"/>
    </row>
    <row r="155" spans="1:24" s="56" customFormat="1" ht="26.25">
      <c r="A155" s="84"/>
      <c r="B155" s="42"/>
      <c r="C155" s="42"/>
      <c r="D155" s="42"/>
      <c r="E155" s="47"/>
      <c r="F155" s="48"/>
      <c r="G155" s="49"/>
      <c r="H155" s="50"/>
      <c r="I155" s="51"/>
      <c r="J155" s="94"/>
      <c r="K155" s="94"/>
      <c r="L155" s="94"/>
      <c r="M155" s="52"/>
      <c r="N155" s="85"/>
      <c r="O155" s="86"/>
      <c r="P155" s="42"/>
      <c r="Q155" s="97"/>
      <c r="R155" s="154"/>
      <c r="S155" s="92"/>
      <c r="T155" s="112"/>
      <c r="U155" s="112"/>
      <c r="V155" s="112"/>
      <c r="W155" s="112"/>
      <c r="X155" s="42"/>
    </row>
    <row r="156" spans="1:24" s="56" customFormat="1" ht="26.25">
      <c r="A156" s="84"/>
      <c r="B156" s="42"/>
      <c r="C156" s="42"/>
      <c r="D156" s="42"/>
      <c r="E156" s="47"/>
      <c r="F156" s="48"/>
      <c r="G156" s="49"/>
      <c r="H156" s="50"/>
      <c r="I156" s="51"/>
      <c r="J156" s="94"/>
      <c r="K156" s="94"/>
      <c r="L156" s="94"/>
      <c r="M156" s="52"/>
      <c r="N156" s="85"/>
      <c r="O156" s="86"/>
      <c r="P156" s="42"/>
      <c r="Q156" s="97"/>
      <c r="R156" s="154"/>
      <c r="S156" s="92"/>
      <c r="T156" s="112"/>
      <c r="U156" s="112"/>
      <c r="V156" s="112"/>
      <c r="W156" s="112"/>
      <c r="X156" s="42"/>
    </row>
    <row r="157" spans="18:23" ht="26.25">
      <c r="R157" s="154"/>
      <c r="S157" s="92"/>
      <c r="T157" s="112"/>
      <c r="U157" s="112"/>
      <c r="V157" s="112"/>
      <c r="W157" s="112"/>
    </row>
    <row r="158" spans="18:23" ht="26.25">
      <c r="R158" s="154"/>
      <c r="S158" s="92"/>
      <c r="T158" s="112"/>
      <c r="U158" s="112"/>
      <c r="V158" s="112"/>
      <c r="W158" s="112"/>
    </row>
    <row r="159" spans="18:23" ht="26.25">
      <c r="R159" s="154"/>
      <c r="S159" s="92"/>
      <c r="T159" s="112"/>
      <c r="U159" s="112"/>
      <c r="V159" s="112"/>
      <c r="W159" s="112"/>
    </row>
    <row r="160" spans="1:24" s="56" customFormat="1" ht="26.25">
      <c r="A160" s="84"/>
      <c r="B160" s="42"/>
      <c r="C160" s="42"/>
      <c r="D160" s="42"/>
      <c r="E160" s="47"/>
      <c r="F160" s="48"/>
      <c r="G160" s="49"/>
      <c r="H160" s="50"/>
      <c r="I160" s="51"/>
      <c r="J160" s="94"/>
      <c r="K160" s="94"/>
      <c r="L160" s="94"/>
      <c r="M160" s="52"/>
      <c r="N160" s="85"/>
      <c r="O160" s="86"/>
      <c r="P160" s="42"/>
      <c r="Q160" s="97"/>
      <c r="R160" s="154"/>
      <c r="S160" s="92"/>
      <c r="T160" s="112"/>
      <c r="U160" s="112"/>
      <c r="V160" s="112"/>
      <c r="W160" s="112"/>
      <c r="X160" s="42"/>
    </row>
    <row r="161" spans="18:23" ht="26.25">
      <c r="R161" s="154"/>
      <c r="S161" s="92"/>
      <c r="T161" s="112"/>
      <c r="U161" s="112"/>
      <c r="V161" s="112"/>
      <c r="W161" s="112"/>
    </row>
    <row r="162" spans="18:23" ht="26.25">
      <c r="R162" s="154"/>
      <c r="S162" s="92"/>
      <c r="T162" s="112"/>
      <c r="U162" s="112"/>
      <c r="V162" s="112"/>
      <c r="W162" s="112"/>
    </row>
    <row r="163" spans="17:23" ht="26.25">
      <c r="Q163" s="112"/>
      <c r="R163" s="112"/>
      <c r="S163" s="112"/>
      <c r="T163" s="112"/>
      <c r="U163" s="112"/>
      <c r="V163" s="112"/>
      <c r="W163" s="112"/>
    </row>
    <row r="164" spans="17:23" ht="26.25">
      <c r="Q164" s="112"/>
      <c r="R164" s="112"/>
      <c r="S164" s="112"/>
      <c r="T164" s="112"/>
      <c r="U164" s="112"/>
      <c r="V164" s="112"/>
      <c r="W164" s="112"/>
    </row>
    <row r="165" spans="17:23" ht="26.25">
      <c r="Q165" s="112"/>
      <c r="R165" s="112"/>
      <c r="S165" s="112"/>
      <c r="T165" s="112"/>
      <c r="U165" s="112"/>
      <c r="V165" s="112"/>
      <c r="W165" s="112"/>
    </row>
    <row r="166" spans="17:23" ht="26.25">
      <c r="Q166" s="112"/>
      <c r="R166" s="112"/>
      <c r="S166" s="112"/>
      <c r="T166" s="112"/>
      <c r="U166" s="112"/>
      <c r="V166" s="112"/>
      <c r="W166" s="112"/>
    </row>
    <row r="167" spans="16:23" ht="26.25">
      <c r="P167" s="56"/>
      <c r="R167" s="92"/>
      <c r="S167" s="92"/>
      <c r="T167" s="112"/>
      <c r="U167" s="93"/>
      <c r="V167" s="93"/>
      <c r="W167" s="112"/>
    </row>
    <row r="168" spans="18:24" ht="26.25">
      <c r="R168" s="154"/>
      <c r="S168" s="92"/>
      <c r="T168" s="112"/>
      <c r="U168" s="157"/>
      <c r="V168" s="92"/>
      <c r="W168" s="112"/>
      <c r="X168" s="56"/>
    </row>
    <row r="169" spans="16:24" ht="26.25">
      <c r="P169" s="56"/>
      <c r="R169" s="154"/>
      <c r="S169" s="92"/>
      <c r="T169" s="112"/>
      <c r="U169" s="157"/>
      <c r="V169" s="92"/>
      <c r="W169" s="112"/>
      <c r="X169" s="56"/>
    </row>
    <row r="170" spans="16:23" ht="26.25">
      <c r="P170" s="56"/>
      <c r="R170" s="154"/>
      <c r="S170" s="92"/>
      <c r="T170" s="112"/>
      <c r="U170" s="157"/>
      <c r="V170" s="92"/>
      <c r="W170" s="112"/>
    </row>
    <row r="171" spans="16:24" ht="26.25">
      <c r="P171" s="56"/>
      <c r="R171" s="154"/>
      <c r="S171" s="92"/>
      <c r="T171" s="112"/>
      <c r="U171" s="157"/>
      <c r="V171" s="92"/>
      <c r="W171" s="112"/>
      <c r="X171" s="56"/>
    </row>
    <row r="172" spans="16:24" ht="26.25">
      <c r="P172" s="56"/>
      <c r="R172" s="154"/>
      <c r="S172" s="92"/>
      <c r="T172" s="112"/>
      <c r="U172" s="93"/>
      <c r="V172" s="93"/>
      <c r="W172" s="112"/>
      <c r="X172" s="56"/>
    </row>
    <row r="173" spans="16:24" ht="26.25">
      <c r="P173" s="56"/>
      <c r="Q173" s="112"/>
      <c r="R173" s="154"/>
      <c r="S173" s="92"/>
      <c r="T173" s="112"/>
      <c r="U173" s="112"/>
      <c r="V173" s="158"/>
      <c r="W173" s="112"/>
      <c r="X173" s="56"/>
    </row>
    <row r="174" spans="16:24" ht="26.25">
      <c r="P174" s="56"/>
      <c r="R174" s="154"/>
      <c r="S174" s="92"/>
      <c r="T174" s="112"/>
      <c r="U174" s="112"/>
      <c r="V174" s="112"/>
      <c r="W174" s="112"/>
      <c r="X174" s="56"/>
    </row>
    <row r="175" spans="16:24" ht="26.25">
      <c r="P175" s="56"/>
      <c r="R175" s="154"/>
      <c r="S175" s="92"/>
      <c r="T175" s="112"/>
      <c r="U175" s="112"/>
      <c r="V175" s="112"/>
      <c r="W175" s="112"/>
      <c r="X175" s="56"/>
    </row>
    <row r="176" spans="16:24" ht="26.25">
      <c r="P176" s="56"/>
      <c r="R176" s="154"/>
      <c r="S176" s="92"/>
      <c r="T176" s="112"/>
      <c r="U176" s="112"/>
      <c r="V176" s="112"/>
      <c r="W176" s="112"/>
      <c r="X176" s="56"/>
    </row>
    <row r="177" spans="16:24" ht="26.25">
      <c r="P177" s="56"/>
      <c r="R177" s="154"/>
      <c r="S177" s="92"/>
      <c r="T177" s="112"/>
      <c r="U177" s="112"/>
      <c r="V177" s="112"/>
      <c r="W177" s="112"/>
      <c r="X177" s="56"/>
    </row>
    <row r="178" spans="16:24" ht="26.25">
      <c r="P178" s="56"/>
      <c r="R178" s="154"/>
      <c r="S178" s="92"/>
      <c r="T178" s="112"/>
      <c r="U178" s="112"/>
      <c r="V178" s="112"/>
      <c r="W178" s="112"/>
      <c r="X178" s="56"/>
    </row>
    <row r="179" spans="18:24" ht="26.25">
      <c r="R179" s="154"/>
      <c r="S179" s="92"/>
      <c r="T179" s="112"/>
      <c r="U179" s="112"/>
      <c r="V179" s="112"/>
      <c r="W179" s="112"/>
      <c r="X179" s="56"/>
    </row>
    <row r="180" spans="18:24" ht="26.25">
      <c r="R180" s="154"/>
      <c r="S180" s="92"/>
      <c r="T180" s="112"/>
      <c r="U180" s="112"/>
      <c r="V180" s="112"/>
      <c r="W180" s="112"/>
      <c r="X180" s="56"/>
    </row>
    <row r="181" spans="18:24" ht="26.25">
      <c r="R181" s="154"/>
      <c r="S181" s="92"/>
      <c r="T181" s="112"/>
      <c r="U181" s="112"/>
      <c r="V181" s="112"/>
      <c r="W181" s="112"/>
      <c r="X181" s="56"/>
    </row>
    <row r="182" spans="18:23" ht="26.25">
      <c r="R182" s="154"/>
      <c r="S182" s="92"/>
      <c r="T182" s="112"/>
      <c r="U182" s="112"/>
      <c r="V182" s="112"/>
      <c r="W182" s="112"/>
    </row>
    <row r="183" spans="18:23" ht="26.25">
      <c r="R183" s="154"/>
      <c r="S183" s="92"/>
      <c r="T183" s="112"/>
      <c r="U183" s="112"/>
      <c r="V183" s="112"/>
      <c r="W183" s="112"/>
    </row>
    <row r="184" spans="18:23" ht="26.25">
      <c r="R184" s="154"/>
      <c r="S184" s="92"/>
      <c r="T184" s="112"/>
      <c r="U184" s="112"/>
      <c r="V184" s="112"/>
      <c r="W184" s="112"/>
    </row>
    <row r="185" ht="26.25">
      <c r="Q185" s="134"/>
    </row>
  </sheetData>
  <sheetProtection/>
  <mergeCells count="16">
    <mergeCell ref="B47:D47"/>
    <mergeCell ref="E47:F47"/>
    <mergeCell ref="Q4:W4"/>
    <mergeCell ref="B5:D5"/>
    <mergeCell ref="E5:F5"/>
    <mergeCell ref="B26:D26"/>
    <mergeCell ref="E26:F26"/>
    <mergeCell ref="B37:D37"/>
    <mergeCell ref="E37:F37"/>
    <mergeCell ref="I27:P27"/>
    <mergeCell ref="A1:O1"/>
    <mergeCell ref="Q1:W1"/>
    <mergeCell ref="A2:O2"/>
    <mergeCell ref="Q2:W2"/>
    <mergeCell ref="A3:O3"/>
    <mergeCell ref="Q3:W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จ่ายเงินผู้สูงอายุ</dc:title>
  <dc:subject/>
  <dc:creator>งานพัฒนาชุมชน เทศบาลตำบลปงยางคก</dc:creator>
  <cp:keywords/>
  <dc:description/>
  <cp:lastModifiedBy>user</cp:lastModifiedBy>
  <cp:lastPrinted>2017-03-01T07:37:32Z</cp:lastPrinted>
  <dcterms:created xsi:type="dcterms:W3CDTF">2011-09-12T08:39:03Z</dcterms:created>
  <dcterms:modified xsi:type="dcterms:W3CDTF">2017-03-24T04:35:14Z</dcterms:modified>
  <cp:category/>
  <cp:version/>
  <cp:contentType/>
  <cp:contentStatus/>
</cp:coreProperties>
</file>