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15" yWindow="2805" windowWidth="10980" windowHeight="5745" tabRatio="669" activeTab="0"/>
  </bookViews>
  <sheets>
    <sheet name="10-2559 (60 รวม) " sheetId="1" r:id="rId1"/>
    <sheet name="10-2559 (70 รวม)" sheetId="2" r:id="rId2"/>
    <sheet name="10-2559 (80 รวม)" sheetId="3" r:id="rId3"/>
    <sheet name="10-2559 (90 รวม)" sheetId="4" r:id="rId4"/>
    <sheet name="Sheet2" sheetId="5" r:id="rId5"/>
  </sheets>
  <definedNames>
    <definedName name="_xlfn.BAHTTEXT" hidden="1">#NAME?</definedName>
    <definedName name="_xlnm.Print_Area" localSheetId="0">'10-2559 (60 รวม) '!$A$1:$AE$485</definedName>
    <definedName name="_xlnm.Print_Area" localSheetId="1">'10-2559 (70 รวม)'!$A$1:$AE$279</definedName>
    <definedName name="_xlnm.Print_Area" localSheetId="2">'10-2559 (80 รวม)'!$A$1:$AE$242</definedName>
    <definedName name="_xlnm.Print_Area" localSheetId="3">'10-2559 (90 รวม)'!$A$1:$AE$273</definedName>
    <definedName name="_xlnm.Print_Titles" localSheetId="0">'10-2559 (60 รวม) '!$1:$5</definedName>
    <definedName name="_xlnm.Print_Titles" localSheetId="1">'10-2559 (70 รวม)'!$1:$5</definedName>
    <definedName name="_xlnm.Print_Titles" localSheetId="2">'10-2559 (80 รวม)'!$1:$5</definedName>
    <definedName name="_xlnm.Print_Titles" localSheetId="3">'10-2559 (90 รวม)'!$1:$5</definedName>
  </definedNames>
  <calcPr fullCalcOnLoad="1"/>
</workbook>
</file>

<file path=xl/sharedStrings.xml><?xml version="1.0" encoding="utf-8"?>
<sst xmlns="http://schemas.openxmlformats.org/spreadsheetml/2006/main" count="4023" uniqueCount="1552">
  <si>
    <t>อายุ</t>
  </si>
  <si>
    <t>ช่วงอายุ</t>
  </si>
  <si>
    <t>60 - 69</t>
  </si>
  <si>
    <t>อายุ 70-79 ปี
(คน)</t>
  </si>
  <si>
    <t>อายุ 80-89 ปี
(คน)</t>
  </si>
  <si>
    <t>อายุ 60-69 ปี
(คน)</t>
  </si>
  <si>
    <t>อายุ 90 ปีขึ้นไป
(คน)</t>
  </si>
  <si>
    <t>70-79</t>
  </si>
  <si>
    <t>80-89</t>
  </si>
  <si>
    <t>90 ขึ้นไป</t>
  </si>
  <si>
    <t>ที่</t>
  </si>
  <si>
    <t>ชื่อ-สกุล</t>
  </si>
  <si>
    <t>ที่อยู่</t>
  </si>
  <si>
    <t>อายุ (เดือน)</t>
  </si>
  <si>
    <t>อายุ
(ปี)</t>
  </si>
  <si>
    <t>รวม
(คน)</t>
  </si>
  <si>
    <t>รวมเงิน
(บาท)</t>
  </si>
  <si>
    <t>-----------------------------------------------------------------</t>
  </si>
  <si>
    <t>จำนวนเงิน
(บาท)</t>
  </si>
  <si>
    <t>เลขที่บัตรประจำตัว
ประชาชน</t>
  </si>
  <si>
    <t>ลายมือชื่อ
ผู้รับเงิน</t>
  </si>
  <si>
    <t>หมู่</t>
  </si>
  <si>
    <t>จำนวน</t>
  </si>
  <si>
    <t>รวมทั้งสิ้น</t>
  </si>
  <si>
    <t>วัน-เดือน-ปี 
เกิด
ของผู้สูงอายุ</t>
  </si>
  <si>
    <t>รวม</t>
  </si>
  <si>
    <t>อายุ
(วัน)</t>
  </si>
  <si>
    <t>อายุ (รวม)</t>
  </si>
  <si>
    <t>คำนวณอายุ ณ วันที่</t>
  </si>
  <si>
    <t>พลชัย</t>
  </si>
  <si>
    <t>นาย</t>
  </si>
  <si>
    <t>นาง</t>
  </si>
  <si>
    <t>น.ส.</t>
  </si>
  <si>
    <t>สมศักดิ์</t>
  </si>
  <si>
    <t>รัตน์</t>
  </si>
  <si>
    <t>จรูญ</t>
  </si>
  <si>
    <t>พเยาว์</t>
  </si>
  <si>
    <t>ลิ้นจี่</t>
  </si>
  <si>
    <t>จำรัส</t>
  </si>
  <si>
    <t>ประเทือง</t>
  </si>
  <si>
    <t>ปราณี</t>
  </si>
  <si>
    <t>ประนอม</t>
  </si>
  <si>
    <t>สุภา</t>
  </si>
  <si>
    <t>ปรีชา</t>
  </si>
  <si>
    <t>หยด</t>
  </si>
  <si>
    <t>ประเสริฐ</t>
  </si>
  <si>
    <t>จวน</t>
  </si>
  <si>
    <t>เจียน</t>
  </si>
  <si>
    <t>สมจิตต์</t>
  </si>
  <si>
    <t>สมบูรณ์</t>
  </si>
  <si>
    <t>ทองใบ</t>
  </si>
  <si>
    <t>เสน่ห์</t>
  </si>
  <si>
    <t>ระเบียบ</t>
  </si>
  <si>
    <t>พยุง</t>
  </si>
  <si>
    <t>ณรงค์</t>
  </si>
  <si>
    <t>ฉลวย</t>
  </si>
  <si>
    <t>บุญช่วย</t>
  </si>
  <si>
    <t>สมัย</t>
  </si>
  <si>
    <t>เฉลียว</t>
  </si>
  <si>
    <t>บุญชู</t>
  </si>
  <si>
    <t>16</t>
  </si>
  <si>
    <t>17</t>
  </si>
  <si>
    <t>24</t>
  </si>
  <si>
    <t>29</t>
  </si>
  <si>
    <t>30</t>
  </si>
  <si>
    <t>32/3</t>
  </si>
  <si>
    <t>36</t>
  </si>
  <si>
    <t>38</t>
  </si>
  <si>
    <t>41/2</t>
  </si>
  <si>
    <t>42/1</t>
  </si>
  <si>
    <t>45</t>
  </si>
  <si>
    <t>49</t>
  </si>
  <si>
    <t>51</t>
  </si>
  <si>
    <t>59</t>
  </si>
  <si>
    <t>64</t>
  </si>
  <si>
    <t>72</t>
  </si>
  <si>
    <t>79</t>
  </si>
  <si>
    <t>17/1</t>
  </si>
  <si>
    <t>44/1</t>
  </si>
  <si>
    <t>56/1</t>
  </si>
  <si>
    <t>60</t>
  </si>
  <si>
    <t>เงิน</t>
  </si>
  <si>
    <t>นิคม</t>
  </si>
  <si>
    <t>สมพงษ์</t>
  </si>
  <si>
    <t>สมใจ</t>
  </si>
  <si>
    <t>อำนวย</t>
  </si>
  <si>
    <t>ทองคำ</t>
  </si>
  <si>
    <t>สมพิศ</t>
  </si>
  <si>
    <t>แฉล้ม</t>
  </si>
  <si>
    <t>วิไล</t>
  </si>
  <si>
    <t>อุบล</t>
  </si>
  <si>
    <t>สำรวย</t>
  </si>
  <si>
    <t>45/2</t>
  </si>
  <si>
    <t>57</t>
  </si>
  <si>
    <t>81</t>
  </si>
  <si>
    <t>1</t>
  </si>
  <si>
    <t>4</t>
  </si>
  <si>
    <t>5</t>
  </si>
  <si>
    <t>7</t>
  </si>
  <si>
    <t>8</t>
  </si>
  <si>
    <t>11</t>
  </si>
  <si>
    <t>12/1</t>
  </si>
  <si>
    <t>14</t>
  </si>
  <si>
    <t>19</t>
  </si>
  <si>
    <t>20</t>
  </si>
  <si>
    <t>27</t>
  </si>
  <si>
    <t>33</t>
  </si>
  <si>
    <t>40</t>
  </si>
  <si>
    <t>46</t>
  </si>
  <si>
    <t>47</t>
  </si>
  <si>
    <t>คล่องรักสัตย์</t>
  </si>
  <si>
    <t>50/1</t>
  </si>
  <si>
    <t>52</t>
  </si>
  <si>
    <t>54</t>
  </si>
  <si>
    <t>56</t>
  </si>
  <si>
    <t>57/1</t>
  </si>
  <si>
    <t>57/2</t>
  </si>
  <si>
    <t>58</t>
  </si>
  <si>
    <t>58/1</t>
  </si>
  <si>
    <t>60/1</t>
  </si>
  <si>
    <t>60/2</t>
  </si>
  <si>
    <t>60/6</t>
  </si>
  <si>
    <t>61</t>
  </si>
  <si>
    <t>สุขสงวน</t>
  </si>
  <si>
    <t>62</t>
  </si>
  <si>
    <t>63</t>
  </si>
  <si>
    <t>65</t>
  </si>
  <si>
    <t>67</t>
  </si>
  <si>
    <t>69</t>
  </si>
  <si>
    <t>71</t>
  </si>
  <si>
    <t>74</t>
  </si>
  <si>
    <t>77</t>
  </si>
  <si>
    <t>91/4</t>
  </si>
  <si>
    <t>ฤทธิ์คำรพ</t>
  </si>
  <si>
    <t>62/1</t>
  </si>
  <si>
    <t>70</t>
  </si>
  <si>
    <t>อนงค์</t>
  </si>
  <si>
    <t>เสงี่ยม</t>
  </si>
  <si>
    <t>วาสนา</t>
  </si>
  <si>
    <t>ประทิน</t>
  </si>
  <si>
    <t>จำลอง</t>
  </si>
  <si>
    <t>ประทุม</t>
  </si>
  <si>
    <t>ละเอียด</t>
  </si>
  <si>
    <t>จำเนียร</t>
  </si>
  <si>
    <t>ประสิทธิ์</t>
  </si>
  <si>
    <t>โสภา</t>
  </si>
  <si>
    <t>มะลิ</t>
  </si>
  <si>
    <t>นงนุช</t>
  </si>
  <si>
    <t>อำไพ</t>
  </si>
  <si>
    <t>วันเพ็ญ</t>
  </si>
  <si>
    <t>บุญมี</t>
  </si>
  <si>
    <t>นิตยา</t>
  </si>
  <si>
    <t>วิชัย</t>
  </si>
  <si>
    <t>ถาวร</t>
  </si>
  <si>
    <t>เล็ก</t>
  </si>
  <si>
    <t>วิเชียร</t>
  </si>
  <si>
    <t>พนม</t>
  </si>
  <si>
    <t>ถวิล</t>
  </si>
  <si>
    <t>น้อย</t>
  </si>
  <si>
    <t>ฉวีวรรณ</t>
  </si>
  <si>
    <t>วินัย</t>
  </si>
  <si>
    <t>พิม</t>
  </si>
  <si>
    <t>อารี</t>
  </si>
  <si>
    <t>บุญเลิศ</t>
  </si>
  <si>
    <t>วารี</t>
  </si>
  <si>
    <t>จำรูญ</t>
  </si>
  <si>
    <t>สุรินทร์</t>
  </si>
  <si>
    <t>สำเนียง</t>
  </si>
  <si>
    <t>ประกอบ</t>
  </si>
  <si>
    <t>บุญมา</t>
  </si>
  <si>
    <t>อุไร</t>
  </si>
  <si>
    <t>วิรัช</t>
  </si>
  <si>
    <t>สังเวียน</t>
  </si>
  <si>
    <t>บรรจง</t>
  </si>
  <si>
    <t>จรรยา</t>
  </si>
  <si>
    <t>41</t>
  </si>
  <si>
    <t>6/1</t>
  </si>
  <si>
    <t>10</t>
  </si>
  <si>
    <t>12</t>
  </si>
  <si>
    <t>13</t>
  </si>
  <si>
    <t>15</t>
  </si>
  <si>
    <t>26</t>
  </si>
  <si>
    <t>35</t>
  </si>
  <si>
    <t>44</t>
  </si>
  <si>
    <t>48</t>
  </si>
  <si>
    <t>50</t>
  </si>
  <si>
    <t>82/7</t>
  </si>
  <si>
    <t>86</t>
  </si>
  <si>
    <t>100</t>
  </si>
  <si>
    <t>117</t>
  </si>
  <si>
    <t>148/2</t>
  </si>
  <si>
    <t>รัศมี</t>
  </si>
  <si>
    <t>แซ่เล้า</t>
  </si>
  <si>
    <t>สุดล้ำเลิศ</t>
  </si>
  <si>
    <t>8/3</t>
  </si>
  <si>
    <t>สุนันท์</t>
  </si>
  <si>
    <t>ประยูร</t>
  </si>
  <si>
    <t>นิพนธ์</t>
  </si>
  <si>
    <t>ประจวบ</t>
  </si>
  <si>
    <t>ดวงพร</t>
  </si>
  <si>
    <t>มานิตย์</t>
  </si>
  <si>
    <t>สำราญ</t>
  </si>
  <si>
    <t>จำนง</t>
  </si>
  <si>
    <t>ชาตรี</t>
  </si>
  <si>
    <t>สมจิตร</t>
  </si>
  <si>
    <t>สมชาย</t>
  </si>
  <si>
    <t>อุดม</t>
  </si>
  <si>
    <t>บุญเรือน</t>
  </si>
  <si>
    <t>สนั่น</t>
  </si>
  <si>
    <t>อนันต์</t>
  </si>
  <si>
    <t>ละมัย</t>
  </si>
  <si>
    <t>นิยม</t>
  </si>
  <si>
    <t>สมหมาย</t>
  </si>
  <si>
    <t>บุญสม</t>
  </si>
  <si>
    <t>สวัสดิ์</t>
  </si>
  <si>
    <t>ทองย้อย</t>
  </si>
  <si>
    <t>ยุพา</t>
  </si>
  <si>
    <t>สมศรี</t>
  </si>
  <si>
    <t>มานิต</t>
  </si>
  <si>
    <t>สุเทพ</t>
  </si>
  <si>
    <t>ประทีป</t>
  </si>
  <si>
    <t>ฉวี</t>
  </si>
  <si>
    <t>ลูกอินทร์</t>
  </si>
  <si>
    <t>สุมล</t>
  </si>
  <si>
    <t>สุวรรณ</t>
  </si>
  <si>
    <t>พวง</t>
  </si>
  <si>
    <t>ทองสุข</t>
  </si>
  <si>
    <t>บุญชุบ</t>
  </si>
  <si>
    <t>สมาน</t>
  </si>
  <si>
    <t>ชาญ</t>
  </si>
  <si>
    <t>ชาลี</t>
  </si>
  <si>
    <t>สุชาติ</t>
  </si>
  <si>
    <t>มั่น</t>
  </si>
  <si>
    <t>66</t>
  </si>
  <si>
    <t>76</t>
  </si>
  <si>
    <t>โกศลเศรษฐ์</t>
  </si>
  <si>
    <t>สมบุญสุโข</t>
  </si>
  <si>
    <t>แซ่จิว</t>
  </si>
  <si>
    <t>107/1</t>
  </si>
  <si>
    <t>ลำพึง</t>
  </si>
  <si>
    <t>สงวน</t>
  </si>
  <si>
    <t>อุษา</t>
  </si>
  <si>
    <t>ทองอยู่</t>
  </si>
  <si>
    <t>แสวง</t>
  </si>
  <si>
    <t>ทองดี</t>
  </si>
  <si>
    <t>ชิต</t>
  </si>
  <si>
    <t>สมปอง</t>
  </si>
  <si>
    <t>สมคิด</t>
  </si>
  <si>
    <t>สง่า</t>
  </si>
  <si>
    <t>สะอาด</t>
  </si>
  <si>
    <t>ยุพิน</t>
  </si>
  <si>
    <t>มณฑา</t>
  </si>
  <si>
    <t>เฉลิม</t>
  </si>
  <si>
    <t>90/1</t>
  </si>
  <si>
    <t>42</t>
  </si>
  <si>
    <t>28</t>
  </si>
  <si>
    <t>32</t>
  </si>
  <si>
    <t>51/1</t>
  </si>
  <si>
    <t>59/1</t>
  </si>
  <si>
    <t>82/1</t>
  </si>
  <si>
    <t>อัจฉรา</t>
  </si>
  <si>
    <t>เริ่ม 1 ต.ค. 57</t>
  </si>
  <si>
    <t>บุญชอบ</t>
  </si>
  <si>
    <t>80</t>
  </si>
  <si>
    <t>สุนันทา</t>
  </si>
  <si>
    <t>ม.3</t>
  </si>
  <si>
    <t>53</t>
  </si>
  <si>
    <t>68</t>
  </si>
  <si>
    <t>ม.4</t>
  </si>
  <si>
    <t>ลัดดา</t>
  </si>
  <si>
    <t>พรเทพ</t>
  </si>
  <si>
    <t>กลิ่นนิ่มนวล</t>
  </si>
  <si>
    <t>72/2</t>
  </si>
  <si>
    <t>ยม</t>
  </si>
  <si>
    <t>เล่าทุย</t>
  </si>
  <si>
    <t>ดวงดารา</t>
  </si>
  <si>
    <t>9</t>
  </si>
  <si>
    <t>คง</t>
  </si>
  <si>
    <t>สวัสดิ์มี</t>
  </si>
  <si>
    <t>ธรรมสาโรรัชย์</t>
  </si>
  <si>
    <t>เขียนประดิษฐ์</t>
  </si>
  <si>
    <t>26/1</t>
  </si>
  <si>
    <t>กลิ่นสมเชื้อ</t>
  </si>
  <si>
    <t>26/2</t>
  </si>
  <si>
    <t>ทองประสี</t>
  </si>
  <si>
    <t>ช้างน้อย</t>
  </si>
  <si>
    <t>34/2</t>
  </si>
  <si>
    <t>ประภัสสโร</t>
  </si>
  <si>
    <t>40/5</t>
  </si>
  <si>
    <t>ลาวิน</t>
  </si>
  <si>
    <t>กิจเจริญ</t>
  </si>
  <si>
    <t>44/5</t>
  </si>
  <si>
    <t>ภักดี</t>
  </si>
  <si>
    <t>กัลยาณรัตน์</t>
  </si>
  <si>
    <t>50/4</t>
  </si>
  <si>
    <t>จรัล</t>
  </si>
  <si>
    <t>พระ</t>
  </si>
  <si>
    <t>ภัก</t>
  </si>
  <si>
    <t>ฮ่งกือ</t>
  </si>
  <si>
    <t>สมเจตน์</t>
  </si>
  <si>
    <t>กิ่งสวัสดิ์</t>
  </si>
  <si>
    <t>เทียมทัด</t>
  </si>
  <si>
    <t>ผิว</t>
  </si>
  <si>
    <t>อินทร</t>
  </si>
  <si>
    <t>กิมไล้</t>
  </si>
  <si>
    <t>67/1</t>
  </si>
  <si>
    <t>68/2</t>
  </si>
  <si>
    <t>สมบัติ</t>
  </si>
  <si>
    <t>83/5</t>
  </si>
  <si>
    <t>กว้าง</t>
  </si>
  <si>
    <t>ไสแสง</t>
  </si>
  <si>
    <t>90/99</t>
  </si>
  <si>
    <t>พิณ</t>
  </si>
  <si>
    <t>พละสาร</t>
  </si>
  <si>
    <t>90/180</t>
  </si>
  <si>
    <t>ศรีเรือง</t>
  </si>
  <si>
    <t>90/311</t>
  </si>
  <si>
    <t>บันเทิง</t>
  </si>
  <si>
    <t>ผ่องศรี</t>
  </si>
  <si>
    <t>สวัสดิ์หว่าง</t>
  </si>
  <si>
    <t>ใจเร็ว</t>
  </si>
  <si>
    <t>เรืองสิทธิ์</t>
  </si>
  <si>
    <t>ปิติธราพงษ์</t>
  </si>
  <si>
    <t>81/1</t>
  </si>
  <si>
    <t>วิถี</t>
  </si>
  <si>
    <t>หลงสมบุญ</t>
  </si>
  <si>
    <t>86/4</t>
  </si>
  <si>
    <t>ดวงใจ</t>
  </si>
  <si>
    <t>ศรีธนาธิวัฒน์กุล</t>
  </si>
  <si>
    <t>90/103</t>
  </si>
  <si>
    <t>อลังการ</t>
  </si>
  <si>
    <t>ศรีดี</t>
  </si>
  <si>
    <t>90/133</t>
  </si>
  <si>
    <t>บุญลือ</t>
  </si>
  <si>
    <t>ศรีสดฤกษ์</t>
  </si>
  <si>
    <t>90/178</t>
  </si>
  <si>
    <t>พนมพร</t>
  </si>
  <si>
    <t>รังสิโรจน์</t>
  </si>
  <si>
    <t>102/2</t>
  </si>
  <si>
    <t>ตะคร้อกลาง</t>
  </si>
  <si>
    <t>125/14</t>
  </si>
  <si>
    <t>วงศ์อรุณสุภา</t>
  </si>
  <si>
    <t>133/10</t>
  </si>
  <si>
    <t>ปานบ้านเกร็ด</t>
  </si>
  <si>
    <t>83/1</t>
  </si>
  <si>
    <t>สวรรค์</t>
  </si>
  <si>
    <t>รอดวุฒิ</t>
  </si>
  <si>
    <t>เจริญ</t>
  </si>
  <si>
    <t>คิมประเสริฐ</t>
  </si>
  <si>
    <t>สร้อยทอง</t>
  </si>
  <si>
    <t>4/1</t>
  </si>
  <si>
    <t>11/2</t>
  </si>
  <si>
    <t>23/1</t>
  </si>
  <si>
    <t>สำลี</t>
  </si>
  <si>
    <t>ไทยทวี</t>
  </si>
  <si>
    <t>ทางชูแก้ว</t>
  </si>
  <si>
    <t>43/4</t>
  </si>
  <si>
    <t>สุโขชัยยะกิจ</t>
  </si>
  <si>
    <t>สุขบำรุง</t>
  </si>
  <si>
    <t>91/374</t>
  </si>
  <si>
    <t>ทวีสิทธิ์</t>
  </si>
  <si>
    <t>ตรงธนานุรักษ์</t>
  </si>
  <si>
    <t>146/5</t>
  </si>
  <si>
    <t>อำพร</t>
  </si>
  <si>
    <t>ปาปะขี</t>
  </si>
  <si>
    <t>91/45</t>
  </si>
  <si>
    <t>แซ่เจี่ย</t>
  </si>
  <si>
    <t>44/84</t>
  </si>
  <si>
    <t>วรรณพร</t>
  </si>
  <si>
    <t>กิตตินิรนาท</t>
  </si>
  <si>
    <t>90/315</t>
  </si>
  <si>
    <t>มะยม</t>
  </si>
  <si>
    <t>66/1</t>
  </si>
  <si>
    <t>43</t>
  </si>
  <si>
    <t>พิศวาส</t>
  </si>
  <si>
    <t>สุทธิธรรม</t>
  </si>
  <si>
    <t>107/29</t>
  </si>
  <si>
    <t>ยินดี</t>
  </si>
  <si>
    <t>แชบัว</t>
  </si>
  <si>
    <t>29/1</t>
  </si>
  <si>
    <t>สมจิตร์</t>
  </si>
  <si>
    <t>39/3</t>
  </si>
  <si>
    <t>สระดี</t>
  </si>
  <si>
    <t>ศิริบุตร</t>
  </si>
  <si>
    <t>136/30</t>
  </si>
  <si>
    <t>ประวิทย์</t>
  </si>
  <si>
    <t>พงศ์กิจการเจริญ</t>
  </si>
  <si>
    <t>สูนย์นาดำ</t>
  </si>
  <si>
    <t>อุษณี</t>
  </si>
  <si>
    <t>ธัชชัย</t>
  </si>
  <si>
    <t>104/38</t>
  </si>
  <si>
    <t>จันทนา</t>
  </si>
  <si>
    <t>91/170</t>
  </si>
  <si>
    <t>จรินทร์</t>
  </si>
  <si>
    <t>ฉัตรดาราภรณ์</t>
  </si>
  <si>
    <t>ทัณฑกรณ์</t>
  </si>
  <si>
    <t>91/28</t>
  </si>
  <si>
    <t>อุทัยธรรม</t>
  </si>
  <si>
    <t>108/32</t>
  </si>
  <si>
    <t>ทอสัมฤทธิ์</t>
  </si>
  <si>
    <t>ธวัชชัย</t>
  </si>
  <si>
    <t>ศราคนี</t>
  </si>
  <si>
    <t>60/5</t>
  </si>
  <si>
    <t>ชัยยง</t>
  </si>
  <si>
    <t>จิตชื่นภิรมย์</t>
  </si>
  <si>
    <t>140/20</t>
  </si>
  <si>
    <t>บุญศรี</t>
  </si>
  <si>
    <t>สุขสมัย</t>
  </si>
  <si>
    <t>44/38</t>
  </si>
  <si>
    <t>พัฒลักษณ์</t>
  </si>
  <si>
    <t>25</t>
  </si>
  <si>
    <t>มนตรี</t>
  </si>
  <si>
    <t>สังวร</t>
  </si>
  <si>
    <t>แซ่โค้ว</t>
  </si>
  <si>
    <t>120/6</t>
  </si>
  <si>
    <t>เปิ้น</t>
  </si>
  <si>
    <t>ต้นคำ</t>
  </si>
  <si>
    <t>91/33</t>
  </si>
  <si>
    <t>สำอาง</t>
  </si>
  <si>
    <t>พัชรี</t>
  </si>
  <si>
    <t>สีดี</t>
  </si>
  <si>
    <t>ห้วยหงษ์ทอง</t>
  </si>
  <si>
    <t>นพวรรณ</t>
  </si>
  <si>
    <t>เกษสงคราม</t>
  </si>
  <si>
    <t>99/5</t>
  </si>
  <si>
    <t>31/2</t>
  </si>
  <si>
    <t>สุพจน์</t>
  </si>
  <si>
    <t>อยู่อุ๊น</t>
  </si>
  <si>
    <t>50/2</t>
  </si>
  <si>
    <t>สุธรรม</t>
  </si>
  <si>
    <t>113/3</t>
  </si>
  <si>
    <t>จิรวงศ์บุญรอด</t>
  </si>
  <si>
    <t>132/12</t>
  </si>
  <si>
    <t xml:space="preserve">นพนันท์ </t>
  </si>
  <si>
    <t>สุนทร</t>
  </si>
  <si>
    <t>บุญสุข</t>
  </si>
  <si>
    <t>147/7</t>
  </si>
  <si>
    <t>เง็กสูน</t>
  </si>
  <si>
    <t>แซ่ลิ้ม</t>
  </si>
  <si>
    <t>145/16</t>
  </si>
  <si>
    <t>คำปัน</t>
  </si>
  <si>
    <t>ศรีทา</t>
  </si>
  <si>
    <t>146/10</t>
  </si>
  <si>
    <t>พรธาราวงศ์</t>
  </si>
  <si>
    <t>91/11</t>
  </si>
  <si>
    <t>สุวรรณา</t>
  </si>
  <si>
    <t>โกมลวัฒนะ</t>
  </si>
  <si>
    <t>91/2</t>
  </si>
  <si>
    <t>ณัติ</t>
  </si>
  <si>
    <t>แซ่ตั้ง</t>
  </si>
  <si>
    <t>สนอง</t>
  </si>
  <si>
    <t>บุญเฉลิม</t>
  </si>
  <si>
    <t>มาลี</t>
  </si>
  <si>
    <t>ชิวค้า</t>
  </si>
  <si>
    <t>31/4</t>
  </si>
  <si>
    <t>บุญจันทร์</t>
  </si>
  <si>
    <t>รัตนะวัน</t>
  </si>
  <si>
    <t>113/1</t>
  </si>
  <si>
    <t>นามนาค</t>
  </si>
  <si>
    <t>13/2</t>
  </si>
  <si>
    <t>รับ ต.ค. 56 (งบ57)</t>
  </si>
  <si>
    <t>ธนพร</t>
  </si>
  <si>
    <t>ปู่โฉด</t>
  </si>
  <si>
    <t>26/3</t>
  </si>
  <si>
    <t>บุญเริ่ม</t>
  </si>
  <si>
    <t>คุณุปการ</t>
  </si>
  <si>
    <t>40/9</t>
  </si>
  <si>
    <t>สะอางโฉม</t>
  </si>
  <si>
    <t>เทพหัสดิน ณอยุธยา</t>
  </si>
  <si>
    <t>44/27</t>
  </si>
  <si>
    <t>สาโรช</t>
  </si>
  <si>
    <t>เกิดเจริญ</t>
  </si>
  <si>
    <t>51/2</t>
  </si>
  <si>
    <t>เทพ</t>
  </si>
  <si>
    <t>52/3</t>
  </si>
  <si>
    <t>บญชา</t>
  </si>
  <si>
    <t>กชภัท</t>
  </si>
  <si>
    <t>ปานสมรักษ์</t>
  </si>
  <si>
    <t>59/6</t>
  </si>
  <si>
    <t>โพธิ์เกตุ</t>
  </si>
  <si>
    <t>จันทร์แจ่ม</t>
  </si>
  <si>
    <t>พงษ์พาณิชย์</t>
  </si>
  <si>
    <t>90/143</t>
  </si>
  <si>
    <t>จิรพร</t>
  </si>
  <si>
    <t>อิทธิบำรุง</t>
  </si>
  <si>
    <t>90/221</t>
  </si>
  <si>
    <t>ชัยยะ</t>
  </si>
  <si>
    <t>พฤกสุเมธ</t>
  </si>
  <si>
    <t>90/249</t>
  </si>
  <si>
    <t>ณรงค์ศักดิ์</t>
  </si>
  <si>
    <t>อรรถพล</t>
  </si>
  <si>
    <t>คชาฉัตร</t>
  </si>
  <si>
    <t>90/260</t>
  </si>
  <si>
    <t>วงศ์สิริ</t>
  </si>
  <si>
    <t>สิทธิพร้อม</t>
  </si>
  <si>
    <t>91/78</t>
  </si>
  <si>
    <t>ศรีพลายงาม</t>
  </si>
  <si>
    <t>91/166</t>
  </si>
  <si>
    <t>มีเทศ</t>
  </si>
  <si>
    <t>91/183</t>
  </si>
  <si>
    <t>อมรานุวัฒน์</t>
  </si>
  <si>
    <t>91/231</t>
  </si>
  <si>
    <t>นงค์พรหมมา</t>
  </si>
  <si>
    <t>91/249</t>
  </si>
  <si>
    <t>จงมีสุข</t>
  </si>
  <si>
    <t>91/315</t>
  </si>
  <si>
    <t>บัญชา</t>
  </si>
  <si>
    <t>ธรรมชูเชาวรัตน์</t>
  </si>
  <si>
    <t>95</t>
  </si>
  <si>
    <t>ดีหมื่นไวย์</t>
  </si>
  <si>
    <t>101/26</t>
  </si>
  <si>
    <t>ชัยณรงค์</t>
  </si>
  <si>
    <t>ธวัชประกอบลาภ</t>
  </si>
  <si>
    <t>101/30</t>
  </si>
  <si>
    <t>อัมพร</t>
  </si>
  <si>
    <t>102/8</t>
  </si>
  <si>
    <t>นิทรา</t>
  </si>
  <si>
    <t>โชติถนอมกิจ</t>
  </si>
  <si>
    <t>103/41</t>
  </si>
  <si>
    <t>จันทร์</t>
  </si>
  <si>
    <t>ผมดำ</t>
  </si>
  <si>
    <t>104/14</t>
  </si>
  <si>
    <t>ทองชิง</t>
  </si>
  <si>
    <t>106/16</t>
  </si>
  <si>
    <t>ณัฐวัตร</t>
  </si>
  <si>
    <t>สมยศ</t>
  </si>
  <si>
    <t>ประกอบแสงสวย</t>
  </si>
  <si>
    <t>107/17</t>
  </si>
  <si>
    <t>ธนิตศักดิ์</t>
  </si>
  <si>
    <t>ศศิศิริภาวงศ์</t>
  </si>
  <si>
    <t>เกสร</t>
  </si>
  <si>
    <t>ศรีทอง</t>
  </si>
  <si>
    <t>111/14</t>
  </si>
  <si>
    <t>สามเตี้ย</t>
  </si>
  <si>
    <t>112/36</t>
  </si>
  <si>
    <t>ณัฐวรรณ</t>
  </si>
  <si>
    <t>สุขเกษม</t>
  </si>
  <si>
    <t>133/6</t>
  </si>
  <si>
    <t>สรวิสูตร</t>
  </si>
  <si>
    <t>136/22</t>
  </si>
  <si>
    <t>อัครวัฒน์</t>
  </si>
  <si>
    <t>ฐิติกรพัฒนพล</t>
  </si>
  <si>
    <t>139/9</t>
  </si>
  <si>
    <t>เจี๊ยบ</t>
  </si>
  <si>
    <t>ติเยาว์</t>
  </si>
  <si>
    <t>วิไลย</t>
  </si>
  <si>
    <t>ชุมพล</t>
  </si>
  <si>
    <t>147/1</t>
  </si>
  <si>
    <t>การะเวก</t>
  </si>
  <si>
    <t>32/4</t>
  </si>
  <si>
    <t>รับเบี้ย ต.ค.57 (งบ 58)</t>
  </si>
  <si>
    <t>วีรชาติ</t>
  </si>
  <si>
    <t>ธรรมธีรชาติ</t>
  </si>
  <si>
    <t>106/30</t>
  </si>
  <si>
    <t>ตุ๋ย</t>
  </si>
  <si>
    <t>บุญสมเชื้อ</t>
  </si>
  <si>
    <t>91/113</t>
  </si>
  <si>
    <t>สอน</t>
  </si>
  <si>
    <t>วิชาหาญ</t>
  </si>
  <si>
    <t>101/13</t>
  </si>
  <si>
    <t>สุมาลี</t>
  </si>
  <si>
    <t>ตุลา</t>
  </si>
  <si>
    <t>91/52</t>
  </si>
  <si>
    <t>ผุสดี</t>
  </si>
  <si>
    <t>พลอยศรีสุข</t>
  </si>
  <si>
    <t>91/180</t>
  </si>
  <si>
    <t>พิมลรัตน์</t>
  </si>
  <si>
    <t>ธนะพันธ์พิพัฒน์</t>
  </si>
  <si>
    <t>90/21</t>
  </si>
  <si>
    <t>ทรวงแก้ว</t>
  </si>
  <si>
    <t>108/17</t>
  </si>
  <si>
    <t>ชรินทร์ทิพย์</t>
  </si>
  <si>
    <t>นันท์โชติปภา</t>
  </si>
  <si>
    <t>135/13</t>
  </si>
  <si>
    <t>ไตรตั้งกมล</t>
  </si>
  <si>
    <t>135/9</t>
  </si>
  <si>
    <t>เสถียร</t>
  </si>
  <si>
    <t>ชูรัตน์</t>
  </si>
  <si>
    <t>91/130</t>
  </si>
  <si>
    <t>แก่นกอ</t>
  </si>
  <si>
    <t>101/38</t>
  </si>
  <si>
    <t>ประเทศ</t>
  </si>
  <si>
    <t>จวบฤกษ์เย็น</t>
  </si>
  <si>
    <t>90/131</t>
  </si>
  <si>
    <t>ชนิดา</t>
  </si>
  <si>
    <t>ปงรังษี</t>
  </si>
  <si>
    <t>125/18</t>
  </si>
  <si>
    <t>อุทัยวรรณ</t>
  </si>
  <si>
    <t>พรหมฤทธิ์</t>
  </si>
  <si>
    <t>132/17</t>
  </si>
  <si>
    <t>พวงทอง</t>
  </si>
  <si>
    <t>ประพุทธกร</t>
  </si>
  <si>
    <t>91/139</t>
  </si>
  <si>
    <t>เสือภู่</t>
  </si>
  <si>
    <t>139/16</t>
  </si>
  <si>
    <t>อานันต์</t>
  </si>
  <si>
    <t>สุรพล</t>
  </si>
  <si>
    <t>ลังการ์พินธุ์</t>
  </si>
  <si>
    <t>44/51</t>
  </si>
  <si>
    <t>ชูชาติ</t>
  </si>
  <si>
    <t>บุญทรง</t>
  </si>
  <si>
    <t>102/16</t>
  </si>
  <si>
    <t>ฉลอง</t>
  </si>
  <si>
    <t>สมพร</t>
  </si>
  <si>
    <t>เอี่ยมแก้ว</t>
  </si>
  <si>
    <t>50/9</t>
  </si>
  <si>
    <t>สวัสดิ์กว้าน</t>
  </si>
  <si>
    <t>44/22</t>
  </si>
  <si>
    <t>พรพรรณ</t>
  </si>
  <si>
    <t>ภูรีสารศัพท์</t>
  </si>
  <si>
    <t>44/37</t>
  </si>
  <si>
    <t>ประดิษฐ์</t>
  </si>
  <si>
    <t>มีสุข</t>
  </si>
  <si>
    <t>125/3</t>
  </si>
  <si>
    <t>เอี่ยมมี</t>
  </si>
  <si>
    <t>38/2</t>
  </si>
  <si>
    <t>อินแขก</t>
  </si>
  <si>
    <t>18</t>
  </si>
  <si>
    <t>ปู่อิ่ม</t>
  </si>
  <si>
    <t>66/3</t>
  </si>
  <si>
    <t>บุญเยือน</t>
  </si>
  <si>
    <t>รุ่มนุ่ม</t>
  </si>
  <si>
    <t>2</t>
  </si>
  <si>
    <t>พยนต์</t>
  </si>
  <si>
    <t>อุทัย</t>
  </si>
  <si>
    <t>โพร้งเกร็ด</t>
  </si>
  <si>
    <t>สุวิมล</t>
  </si>
  <si>
    <t>สมทรง</t>
  </si>
  <si>
    <t>18/1</t>
  </si>
  <si>
    <t>ส้มเกลี้ยง</t>
  </si>
  <si>
    <t>ไซสิงห์โต</t>
  </si>
  <si>
    <t>23/2</t>
  </si>
  <si>
    <t>สดชื่น</t>
  </si>
  <si>
    <t>24/2</t>
  </si>
  <si>
    <t>แป้น</t>
  </si>
  <si>
    <t>อ่อนนาคคล้ำ</t>
  </si>
  <si>
    <t>หั้นตะโก</t>
  </si>
  <si>
    <t>27/1</t>
  </si>
  <si>
    <t>เพียรทอง</t>
  </si>
  <si>
    <t>37/7</t>
  </si>
  <si>
    <t>สุวิน</t>
  </si>
  <si>
    <t>สิงโต</t>
  </si>
  <si>
    <t>43/2</t>
  </si>
  <si>
    <t>สุขถาวร</t>
  </si>
  <si>
    <t>นันท์นภัสร์</t>
  </si>
  <si>
    <t>52/1</t>
  </si>
  <si>
    <t>ปู่จุ้ย</t>
  </si>
  <si>
    <t>53/3</t>
  </si>
  <si>
    <t>ไพบูลย์</t>
  </si>
  <si>
    <t>ศรีช่วง</t>
  </si>
  <si>
    <t>58/9</t>
  </si>
  <si>
    <t>สว่างศรี</t>
  </si>
  <si>
    <t>53/9</t>
  </si>
  <si>
    <t>ลออ</t>
  </si>
  <si>
    <t>อ่อนแช่ม</t>
  </si>
  <si>
    <t>56/2</t>
  </si>
  <si>
    <t>จักรวัฒน์</t>
  </si>
  <si>
    <t>ทองเจือ</t>
  </si>
  <si>
    <t>ขวัญเมือง</t>
  </si>
  <si>
    <t>58/6</t>
  </si>
  <si>
    <t>เสนาะคำ</t>
  </si>
  <si>
    <t>บุญส่ง</t>
  </si>
  <si>
    <t>สถิ</t>
  </si>
  <si>
    <t>สะสมทรัพย์</t>
  </si>
  <si>
    <t>71/1</t>
  </si>
  <si>
    <t>85</t>
  </si>
  <si>
    <t>จันทร์หอม</t>
  </si>
  <si>
    <t>91/1</t>
  </si>
  <si>
    <t>ชื่นจิตต์</t>
  </si>
  <si>
    <t>ตาตะวาทิต</t>
  </si>
  <si>
    <t>ประวัติ</t>
  </si>
  <si>
    <t>3</t>
  </si>
  <si>
    <t>อารีย์</t>
  </si>
  <si>
    <t>แก้วแจ้ง</t>
  </si>
  <si>
    <t>ชวน</t>
  </si>
  <si>
    <t>งามสิริศักดิ์</t>
  </si>
  <si>
    <t>37/4</t>
  </si>
  <si>
    <t>อบศรี</t>
  </si>
  <si>
    <t>68/3</t>
  </si>
  <si>
    <t>เปี่ยม</t>
  </si>
  <si>
    <t>90/3</t>
  </si>
  <si>
    <t>ชาญช่าง</t>
  </si>
  <si>
    <t>กิจสวัสดิ์</t>
  </si>
  <si>
    <t>4/2</t>
  </si>
  <si>
    <t>ม.2</t>
  </si>
  <si>
    <t>ทวี</t>
  </si>
  <si>
    <t>26/4</t>
  </si>
  <si>
    <t>ปัถวี</t>
  </si>
  <si>
    <t>37/6</t>
  </si>
  <si>
    <t>22</t>
  </si>
  <si>
    <t>อเนก</t>
  </si>
  <si>
    <t>ทองประเสริฐ</t>
  </si>
  <si>
    <t>50/5</t>
  </si>
  <si>
    <t>อยู่คงพัน</t>
  </si>
  <si>
    <t>ปภาดา</t>
  </si>
  <si>
    <t>จุลปาน</t>
  </si>
  <si>
    <t>9/2</t>
  </si>
  <si>
    <t>ภู่พัฒน์</t>
  </si>
  <si>
    <t>สมจติร์</t>
  </si>
  <si>
    <t>โข่งพลู</t>
  </si>
  <si>
    <t>อินแป้น</t>
  </si>
  <si>
    <t>9/1</t>
  </si>
  <si>
    <t>วิโรจน์</t>
  </si>
  <si>
    <t>บุญรอด</t>
  </si>
  <si>
    <t>ใช้เจริญ</t>
  </si>
  <si>
    <t>ก้องเกียรติ</t>
  </si>
  <si>
    <t>พงษ์พิมาย</t>
  </si>
  <si>
    <t>ลำจวน</t>
  </si>
  <si>
    <t>สุขเซ้ง</t>
  </si>
  <si>
    <t>ไพลิน</t>
  </si>
  <si>
    <t>คุมพล</t>
  </si>
  <si>
    <t>99/8</t>
  </si>
  <si>
    <t>ไพรินทร์</t>
  </si>
  <si>
    <t>สุดประเสริฐ</t>
  </si>
  <si>
    <t>26/6</t>
  </si>
  <si>
    <t>วิกานดา</t>
  </si>
  <si>
    <t>อัครภัทรยาภรณ์</t>
  </si>
  <si>
    <t>8/10</t>
  </si>
  <si>
    <t>ชิดเชื้อ</t>
  </si>
  <si>
    <t>19/1</t>
  </si>
  <si>
    <t>90/4</t>
  </si>
  <si>
    <t>กิมฮุ้น</t>
  </si>
  <si>
    <t>ศรีแสงทรัพย์</t>
  </si>
  <si>
    <t>6</t>
  </si>
  <si>
    <t>บุญให้</t>
  </si>
  <si>
    <t>ฟักประไพ</t>
  </si>
  <si>
    <t>หมึงประเสริฐ</t>
  </si>
  <si>
    <t>11/3</t>
  </si>
  <si>
    <t>วิทยา</t>
  </si>
  <si>
    <t>รุ่งเรืองศรี</t>
  </si>
  <si>
    <t>24/1</t>
  </si>
  <si>
    <t>อารอบ</t>
  </si>
  <si>
    <t>ศุภอุดมฤกษ์</t>
  </si>
  <si>
    <t>ปานสิงห์</t>
  </si>
  <si>
    <t>ลำพัน</t>
  </si>
  <si>
    <t>ม่วงศรี</t>
  </si>
  <si>
    <t>30/1</t>
  </si>
  <si>
    <t>เกียรติประชา</t>
  </si>
  <si>
    <t>30/2</t>
  </si>
  <si>
    <t>คำรัตน์</t>
  </si>
  <si>
    <t>ชูศรี</t>
  </si>
  <si>
    <t>ศรีเกษม</t>
  </si>
  <si>
    <t>39</t>
  </si>
  <si>
    <t>มาลัยศรี</t>
  </si>
  <si>
    <t>ศรีพรหมมา</t>
  </si>
  <si>
    <t>46/1</t>
  </si>
  <si>
    <t>จีรวรรณ</t>
  </si>
  <si>
    <t>สร้อยเซียน</t>
  </si>
  <si>
    <t>จำรอง</t>
  </si>
  <si>
    <t>อิ้วชาวนา</t>
  </si>
  <si>
    <t>ทับทิม</t>
  </si>
  <si>
    <t>เทอดไทย</t>
  </si>
  <si>
    <t>อ่อนสด</t>
  </si>
  <si>
    <t>ชีวิน</t>
  </si>
  <si>
    <t>อนันตะคู</t>
  </si>
  <si>
    <t>ศรีสงกา</t>
  </si>
  <si>
    <t>เดชสองชั้น</t>
  </si>
  <si>
    <t>27/6</t>
  </si>
  <si>
    <t>บำรุง</t>
  </si>
  <si>
    <t>รำพึง</t>
  </si>
  <si>
    <t>คุ้มตะโก</t>
  </si>
  <si>
    <t>ยงยศ</t>
  </si>
  <si>
    <t>อ่อนจาง</t>
  </si>
  <si>
    <t>37/1</t>
  </si>
  <si>
    <t>ทองแก้ว</t>
  </si>
  <si>
    <t>สวัสดี</t>
  </si>
  <si>
    <t>5/2</t>
  </si>
  <si>
    <t>8/2</t>
  </si>
  <si>
    <t>ฉลุ</t>
  </si>
  <si>
    <t>37</t>
  </si>
  <si>
    <t>วศินี</t>
  </si>
  <si>
    <t>พิมพ์วิมล</t>
  </si>
  <si>
    <t>สกุลเจริญพร</t>
  </si>
  <si>
    <t>จันค้า</t>
  </si>
  <si>
    <t>นิ่มอนงค์</t>
  </si>
  <si>
    <t>เลิศสำราญ</t>
  </si>
  <si>
    <t>วรรณประเสริฐ</t>
  </si>
  <si>
    <t>นกเล็ก</t>
  </si>
  <si>
    <t>ภูติวณิชย์</t>
  </si>
  <si>
    <t>สมควร</t>
  </si>
  <si>
    <t>อยู่เย็นเจริญ</t>
  </si>
  <si>
    <t>21</t>
  </si>
  <si>
    <t>54/1</t>
  </si>
  <si>
    <t>หอมมณี</t>
  </si>
  <si>
    <t>บุปผา</t>
  </si>
  <si>
    <t>ไทยสง</t>
  </si>
  <si>
    <t>แช่มค้า</t>
  </si>
  <si>
    <t>แจ่มศรี</t>
  </si>
  <si>
    <t>แย้มสุขสมบูรณ์</t>
  </si>
  <si>
    <t>20/2</t>
  </si>
  <si>
    <t>บังเอิญ</t>
  </si>
  <si>
    <t>เทพสิทธิ์</t>
  </si>
  <si>
    <t>พันธ์</t>
  </si>
  <si>
    <t>ขวัญชัย</t>
  </si>
  <si>
    <t>22/1</t>
  </si>
  <si>
    <t>ภินันท์พร</t>
  </si>
  <si>
    <t>ทิพย์จรัสเมธา</t>
  </si>
  <si>
    <t>บุญเรียม</t>
  </si>
  <si>
    <t>กุลฑลบุตร</t>
  </si>
  <si>
    <t>20/4</t>
  </si>
  <si>
    <t>วงษาพรหม</t>
  </si>
  <si>
    <t>2/2</t>
  </si>
  <si>
    <t>ขาวสำอางค์</t>
  </si>
  <si>
    <t>ประจิน</t>
  </si>
  <si>
    <t>บุญเพ็ญ</t>
  </si>
  <si>
    <t>สุขสมบัติ</t>
  </si>
  <si>
    <t>ประภาโส</t>
  </si>
  <si>
    <t>ลำยอง</t>
  </si>
  <si>
    <t>สุขสำราญ</t>
  </si>
  <si>
    <t>แต๋ว</t>
  </si>
  <si>
    <t>31</t>
  </si>
  <si>
    <t>พะยอม</t>
  </si>
  <si>
    <t>จันทร์ฉาย</t>
  </si>
  <si>
    <t>อัญชรี</t>
  </si>
  <si>
    <t>จิตรภักดี</t>
  </si>
  <si>
    <t>ไพศาล</t>
  </si>
  <si>
    <t>อินค้า</t>
  </si>
  <si>
    <t>ไพโรจน์</t>
  </si>
  <si>
    <t>64/4</t>
  </si>
  <si>
    <t>ประสงค์</t>
  </si>
  <si>
    <t>22/2</t>
  </si>
  <si>
    <t>ทองหยิบ</t>
  </si>
  <si>
    <t>นาคขำ</t>
  </si>
  <si>
    <t>63/6</t>
  </si>
  <si>
    <t>68/1</t>
  </si>
  <si>
    <t>สมสุข</t>
  </si>
  <si>
    <t>ง่วนเจ็งเส็ง</t>
  </si>
  <si>
    <t>เรียม</t>
  </si>
  <si>
    <t>สุขทัศน์</t>
  </si>
  <si>
    <t>พรรณศรี</t>
  </si>
  <si>
    <t>เตชะศิรินุกูล</t>
  </si>
  <si>
    <t>กันยะพิลา</t>
  </si>
  <si>
    <t>40/3</t>
  </si>
  <si>
    <t>พรหมศร</t>
  </si>
  <si>
    <t>67/2</t>
  </si>
  <si>
    <t>โอ๊ยนาสวน</t>
  </si>
  <si>
    <t>63/3</t>
  </si>
  <si>
    <t>อุทอน</t>
  </si>
  <si>
    <t>โอยนาสวน</t>
  </si>
  <si>
    <t>82</t>
  </si>
  <si>
    <t>ทัศนีย์</t>
  </si>
  <si>
    <t>12/3</t>
  </si>
  <si>
    <t>ชมประดิษฐ์</t>
  </si>
  <si>
    <t>มุกดา</t>
  </si>
  <si>
    <t>63/5</t>
  </si>
  <si>
    <t>ศรีดาวเรือง</t>
  </si>
  <si>
    <t>หงส์</t>
  </si>
  <si>
    <t>มังกรแก้ว</t>
  </si>
  <si>
    <t>ทองเพิ่ม</t>
  </si>
  <si>
    <t>เกรียงสมุทร</t>
  </si>
  <si>
    <t>ศรีนวล</t>
  </si>
  <si>
    <t>อารมณ์</t>
  </si>
  <si>
    <t>คำสอน</t>
  </si>
  <si>
    <t>นพพา</t>
  </si>
  <si>
    <t>ฐิติ</t>
  </si>
  <si>
    <t>กลั่นเกิด</t>
  </si>
  <si>
    <t>อรุณ</t>
  </si>
  <si>
    <t>พลัด</t>
  </si>
  <si>
    <t>เอี่ยมอิ่ม</t>
  </si>
  <si>
    <t>สุริน</t>
  </si>
  <si>
    <t>นาคนาเกร็ด</t>
  </si>
  <si>
    <t>บุญธรรม</t>
  </si>
  <si>
    <t>คำใฮ</t>
  </si>
  <si>
    <t>ภัทรนิษฐ์</t>
  </si>
  <si>
    <t>101</t>
  </si>
  <si>
    <t>ทองหล่อ</t>
  </si>
  <si>
    <t>ขวัญ</t>
  </si>
  <si>
    <t>บุญยืน</t>
  </si>
  <si>
    <t>11/1</t>
  </si>
  <si>
    <t>ประทวน</t>
  </si>
  <si>
    <t>มนะเวศน์</t>
  </si>
  <si>
    <t>ห้วนตะโก</t>
  </si>
  <si>
    <t>สำเนา</t>
  </si>
  <si>
    <t>เสมอ</t>
  </si>
  <si>
    <t>98</t>
  </si>
  <si>
    <t>โพธิ์โสภา</t>
  </si>
  <si>
    <t>เตือน</t>
  </si>
  <si>
    <t>จินดา</t>
  </si>
  <si>
    <t>เล็กล้วน</t>
  </si>
  <si>
    <t>สุดา</t>
  </si>
  <si>
    <t>ปลั่ง</t>
  </si>
  <si>
    <t>46/2</t>
  </si>
  <si>
    <t>นุกูล</t>
  </si>
  <si>
    <t>59/2</t>
  </si>
  <si>
    <t>อิ่ม</t>
  </si>
  <si>
    <t>สูงเรืองแสง</t>
  </si>
  <si>
    <t>86/6</t>
  </si>
  <si>
    <t>ทับศรี</t>
  </si>
  <si>
    <t>กมล</t>
  </si>
  <si>
    <t>สกุลไกรพีระ</t>
  </si>
  <si>
    <t>90/203</t>
  </si>
  <si>
    <t>สายพิน</t>
  </si>
  <si>
    <t>เจริญธรรม</t>
  </si>
  <si>
    <t>6/3</t>
  </si>
  <si>
    <t>เฟื่องฟู</t>
  </si>
  <si>
    <t>บุญยัง</t>
  </si>
  <si>
    <t>อุ่นสุวรรณ</t>
  </si>
  <si>
    <t>ประยงค์</t>
  </si>
  <si>
    <t>ชื่นภิรมย์</t>
  </si>
  <si>
    <t>ลุ้ย</t>
  </si>
  <si>
    <t>เหมือนวงษ์ธรรม</t>
  </si>
  <si>
    <t>โตอนันต์</t>
  </si>
  <si>
    <t>47/1</t>
  </si>
  <si>
    <t>ศรีอินทร์คำ</t>
  </si>
  <si>
    <t>จุมพล</t>
  </si>
  <si>
    <t>10/1</t>
  </si>
  <si>
    <t>ป้อม</t>
  </si>
  <si>
    <t>นาคนัทธี</t>
  </si>
  <si>
    <t>บุญเหลือ</t>
  </si>
  <si>
    <t>โกศลสมบูรณ์</t>
  </si>
  <si>
    <t>13/1</t>
  </si>
  <si>
    <t>กฤษ</t>
  </si>
  <si>
    <t>โพธิ์แดง</t>
  </si>
  <si>
    <t>แดงสงฆ์</t>
  </si>
  <si>
    <t>28/1</t>
  </si>
  <si>
    <t>เรี่ยม</t>
  </si>
  <si>
    <t>29/2</t>
  </si>
  <si>
    <t>สุขศรีสมบูรณ์</t>
  </si>
  <si>
    <t>31/6</t>
  </si>
  <si>
    <t>32/5</t>
  </si>
  <si>
    <t>นารี</t>
  </si>
  <si>
    <t>สุวรรณทวีสุข</t>
  </si>
  <si>
    <t>33/2</t>
  </si>
  <si>
    <t>เอี่ยมประชา</t>
  </si>
  <si>
    <t>ทิม</t>
  </si>
  <si>
    <t>ดำรง</t>
  </si>
  <si>
    <t>ไวยวาศ</t>
  </si>
  <si>
    <t>สัมพันธ์</t>
  </si>
  <si>
    <t>43/1</t>
  </si>
  <si>
    <t>ลมัย</t>
  </si>
  <si>
    <t>61/1</t>
  </si>
  <si>
    <t>สวัสดิ์ไทร</t>
  </si>
  <si>
    <t>ศิริวัลย์</t>
  </si>
  <si>
    <t>พรสุข</t>
  </si>
  <si>
    <t>ศรีรัตนวิไล</t>
  </si>
  <si>
    <t>69/1</t>
  </si>
  <si>
    <t>ประหยัด</t>
  </si>
  <si>
    <t>สงัด</t>
  </si>
  <si>
    <t>83</t>
  </si>
  <si>
    <t>หลีกอาญา</t>
  </si>
  <si>
    <t>84</t>
  </si>
  <si>
    <t>ทองทิพย์</t>
  </si>
  <si>
    <t>เนียมอยู่ยงค์</t>
  </si>
  <si>
    <t>84/1</t>
  </si>
  <si>
    <t>บาง</t>
  </si>
  <si>
    <t>ปานเทศ</t>
  </si>
  <si>
    <t>86/2</t>
  </si>
  <si>
    <t>สุนี</t>
  </si>
  <si>
    <t>90/25</t>
  </si>
  <si>
    <t>ชีพเสรี</t>
  </si>
  <si>
    <t>137/27</t>
  </si>
  <si>
    <t>พงษ์</t>
  </si>
  <si>
    <t>สิริพิพัฒน์</t>
  </si>
  <si>
    <t>90/79</t>
  </si>
  <si>
    <t>กฤต</t>
  </si>
  <si>
    <t>สอาดรัตน์</t>
  </si>
  <si>
    <t>90/189</t>
  </si>
  <si>
    <t>หินนท์</t>
  </si>
  <si>
    <t>91/49</t>
  </si>
  <si>
    <t>91/93</t>
  </si>
  <si>
    <t>กมลรัตน์</t>
  </si>
  <si>
    <t>ผลตาล</t>
  </si>
  <si>
    <t>91/303</t>
  </si>
  <si>
    <t>วิชิต</t>
  </si>
  <si>
    <t>ทองเหลือ</t>
  </si>
  <si>
    <t>102/4</t>
  </si>
  <si>
    <t>107/35</t>
  </si>
  <si>
    <t>เลียบ</t>
  </si>
  <si>
    <t>บุญราศรี</t>
  </si>
  <si>
    <t>111/16</t>
  </si>
  <si>
    <t>สร้อยเสม</t>
  </si>
  <si>
    <t>112/32</t>
  </si>
  <si>
    <t>ไพฑูรย์</t>
  </si>
  <si>
    <t>กาญจนโนทัย</t>
  </si>
  <si>
    <t>59/5</t>
  </si>
  <si>
    <t>ยงยุทธ</t>
  </si>
  <si>
    <t>ใหม่สาม</t>
  </si>
  <si>
    <t>91/83</t>
  </si>
  <si>
    <t>เตียง</t>
  </si>
  <si>
    <t>เกตุแก้ว</t>
  </si>
  <si>
    <t>44/36</t>
  </si>
  <si>
    <t>ประชา</t>
  </si>
  <si>
    <t>อรุณฤดีรัตน์</t>
  </si>
  <si>
    <t>91/214</t>
  </si>
  <si>
    <t>สำเภา</t>
  </si>
  <si>
    <t>สอนพงษ์</t>
  </si>
  <si>
    <t>91/330</t>
  </si>
  <si>
    <t>มาก</t>
  </si>
  <si>
    <t>งามกนก</t>
  </si>
  <si>
    <t>109/6</t>
  </si>
  <si>
    <t>ปั้นแพร</t>
  </si>
  <si>
    <t>142/9</t>
  </si>
  <si>
    <t>ดำ</t>
  </si>
  <si>
    <t>ถี</t>
  </si>
  <si>
    <t>สีขุมเหล็ก</t>
  </si>
  <si>
    <t>44/21</t>
  </si>
  <si>
    <t>เพ็ญจันทร์</t>
  </si>
  <si>
    <t>ศิริพรรณาภิรัตน์</t>
  </si>
  <si>
    <t>ลำไย</t>
  </si>
  <si>
    <t>เตมียจิระ</t>
  </si>
  <si>
    <t>ทับเพ็ง</t>
  </si>
  <si>
    <t>91/15</t>
  </si>
  <si>
    <t>สงคราม</t>
  </si>
  <si>
    <t>ทอง</t>
  </si>
  <si>
    <t>เนตร์บุตร์</t>
  </si>
  <si>
    <t>44/63</t>
  </si>
  <si>
    <t>ประสาน</t>
  </si>
  <si>
    <t>สวง</t>
  </si>
  <si>
    <t>มีกุล</t>
  </si>
  <si>
    <t>พูนทรัพย์</t>
  </si>
  <si>
    <t>เทียบ</t>
  </si>
  <si>
    <t>เล่าอุย</t>
  </si>
  <si>
    <t>พุก</t>
  </si>
  <si>
    <t>ก๊กหมึง</t>
  </si>
  <si>
    <t>สั่ง</t>
  </si>
  <si>
    <t>ยูร</t>
  </si>
  <si>
    <t>แซ่หลิว</t>
  </si>
  <si>
    <t>ม่วย</t>
  </si>
  <si>
    <t>23</t>
  </si>
  <si>
    <t>จันทร์ละมูล</t>
  </si>
  <si>
    <t>แถม</t>
  </si>
  <si>
    <t>ตุ๋งหนิง</t>
  </si>
  <si>
    <t>ทองจันทร์</t>
  </si>
  <si>
    <t>44/76</t>
  </si>
  <si>
    <t>เอน</t>
  </si>
  <si>
    <t>ถนอม</t>
  </si>
  <si>
    <t>ซำซา</t>
  </si>
  <si>
    <t>70/2</t>
  </si>
  <si>
    <t>ขิน</t>
  </si>
  <si>
    <t>บุญนาค</t>
  </si>
  <si>
    <t>ทองพรหม</t>
  </si>
  <si>
    <t>44/68</t>
  </si>
  <si>
    <t>สิทธิศุข</t>
  </si>
  <si>
    <t>90/128</t>
  </si>
  <si>
    <t>เกตุ</t>
  </si>
  <si>
    <t>91/203</t>
  </si>
  <si>
    <t>สะอิ้ง</t>
  </si>
  <si>
    <t>เซ้ง</t>
  </si>
  <si>
    <t>เซี๊ยะยิน</t>
  </si>
  <si>
    <t>แซ่ลอง</t>
  </si>
  <si>
    <t>ปู่มาก</t>
  </si>
  <si>
    <t>53/4</t>
  </si>
  <si>
    <t>พันธ์ไทย</t>
  </si>
  <si>
    <t>มา</t>
  </si>
  <si>
    <t>18/2</t>
  </si>
  <si>
    <t>55/1</t>
  </si>
  <si>
    <t>ปู่แจง</t>
  </si>
  <si>
    <t>กิมหงษ์</t>
  </si>
  <si>
    <t>49/1</t>
  </si>
  <si>
    <t>จำเรียง</t>
  </si>
  <si>
    <t>36/1</t>
  </si>
  <si>
    <t>หลักสุวรรณ</t>
  </si>
  <si>
    <t>ศรีสุทธิ</t>
  </si>
  <si>
    <t>มธุรส</t>
  </si>
  <si>
    <t>สม</t>
  </si>
  <si>
    <t>สวาท</t>
  </si>
  <si>
    <t>23/3</t>
  </si>
  <si>
    <t>งามเจริญ</t>
  </si>
  <si>
    <t>แก้ว</t>
  </si>
  <si>
    <t>ทรัพย์พยา</t>
  </si>
  <si>
    <t>36/2</t>
  </si>
  <si>
    <t>37/5</t>
  </si>
  <si>
    <t>กิมปุ๊ย</t>
  </si>
  <si>
    <t>49/2</t>
  </si>
  <si>
    <t>58/2</t>
  </si>
  <si>
    <t>สุทิน</t>
  </si>
  <si>
    <t>วิชคณานา</t>
  </si>
  <si>
    <t>58/11</t>
  </si>
  <si>
    <t>ทิวบุญนาค</t>
  </si>
  <si>
    <t>ประจิม</t>
  </si>
  <si>
    <t>แสงทับ</t>
  </si>
  <si>
    <t>เมธีปราชญางกูร</t>
  </si>
  <si>
    <t>สำหรับ</t>
  </si>
  <si>
    <t>จินดาวงษ์</t>
  </si>
  <si>
    <t>กิมเทียน</t>
  </si>
  <si>
    <t>เพชร</t>
  </si>
  <si>
    <t>กิมเอ็ง</t>
  </si>
  <si>
    <t>สุวรรณคต</t>
  </si>
  <si>
    <t>ชู</t>
  </si>
  <si>
    <t>กิมเฮง</t>
  </si>
  <si>
    <t>สินธ์</t>
  </si>
  <si>
    <t>หวิง</t>
  </si>
  <si>
    <t>เม่นนาเกร็ด</t>
  </si>
  <si>
    <t>ถมยา</t>
  </si>
  <si>
    <t>ตรง</t>
  </si>
  <si>
    <t>มาประชา</t>
  </si>
  <si>
    <t>แย้มน้อยใหญ่</t>
  </si>
  <si>
    <t>3/4</t>
  </si>
  <si>
    <t>พาประเสริฐ</t>
  </si>
  <si>
    <t>14/3</t>
  </si>
  <si>
    <t>เอี๋ยวประเสริฐ</t>
  </si>
  <si>
    <t>25/1</t>
  </si>
  <si>
    <t>ชัยวัฒน์</t>
  </si>
  <si>
    <t>มาลัยทอง</t>
  </si>
  <si>
    <t>กานดา</t>
  </si>
  <si>
    <t>สุ่น</t>
  </si>
  <si>
    <t>30/3</t>
  </si>
  <si>
    <t>ทองเบิ้ม</t>
  </si>
  <si>
    <t>31/1</t>
  </si>
  <si>
    <t>กี่</t>
  </si>
  <si>
    <t>ทองพันธ์</t>
  </si>
  <si>
    <t>จือเกร็ด</t>
  </si>
  <si>
    <t>55</t>
  </si>
  <si>
    <t>แพชมัด</t>
  </si>
  <si>
    <t>68/4</t>
  </si>
  <si>
    <t>ฉะอ้อน</t>
  </si>
  <si>
    <t>เพ็งนาเรนทร์</t>
  </si>
  <si>
    <t>ชดช้อย</t>
  </si>
  <si>
    <t>กลม</t>
  </si>
  <si>
    <t>บุญชม</t>
  </si>
  <si>
    <t>อั้นคง</t>
  </si>
  <si>
    <t>แช่ม</t>
  </si>
  <si>
    <t>เฟื่องบางหลวง</t>
  </si>
  <si>
    <t>11/5</t>
  </si>
  <si>
    <t>แจะ</t>
  </si>
  <si>
    <t>แจ้ง</t>
  </si>
  <si>
    <t>เสม</t>
  </si>
  <si>
    <t>เลิศ</t>
  </si>
  <si>
    <t>ศรีเงิน</t>
  </si>
  <si>
    <t>ผอบ</t>
  </si>
  <si>
    <t>ตัณฑวิรฬห์</t>
  </si>
  <si>
    <t>นิ่ม</t>
  </si>
  <si>
    <t>หยัด</t>
  </si>
  <si>
    <t>ผ่องพุฒ</t>
  </si>
  <si>
    <t>บุญชิต</t>
  </si>
  <si>
    <t>สุทธิวารี</t>
  </si>
  <si>
    <t>ปรุง</t>
  </si>
  <si>
    <t>โตปู่</t>
  </si>
  <si>
    <t>ปู่มั่น</t>
  </si>
  <si>
    <t>3/1</t>
  </si>
  <si>
    <t>รวย</t>
  </si>
  <si>
    <t>สุณีย์</t>
  </si>
  <si>
    <t>2/1</t>
  </si>
  <si>
    <t>ประเสริฐศรี</t>
  </si>
  <si>
    <t>บางเขม็ด</t>
  </si>
  <si>
    <t>เรืองชัย</t>
  </si>
  <si>
    <t>สมสุขไพเราะ</t>
  </si>
  <si>
    <t>สุรีย์</t>
  </si>
  <si>
    <t>ละมูล</t>
  </si>
  <si>
    <t>จันทร์สมวงศ์</t>
  </si>
  <si>
    <t>ศรีชะ</t>
  </si>
  <si>
    <t>ผล</t>
  </si>
  <si>
    <t>ชังเก</t>
  </si>
  <si>
    <t>20/1</t>
  </si>
  <si>
    <t>มะรินทร์</t>
  </si>
  <si>
    <t>ปิ่น</t>
  </si>
  <si>
    <t>ปทุมาสูตร</t>
  </si>
  <si>
    <t>หุน</t>
  </si>
  <si>
    <t>สุวรรณเนตร์</t>
  </si>
  <si>
    <t>จิบ</t>
  </si>
  <si>
    <t>นวล</t>
  </si>
  <si>
    <t>หวังพงษ์</t>
  </si>
  <si>
    <t>หนู</t>
  </si>
  <si>
    <t>องุ่น</t>
  </si>
  <si>
    <t>อินทรแขก</t>
  </si>
  <si>
    <t>64/5</t>
  </si>
  <si>
    <t>วิจิตร</t>
  </si>
  <si>
    <t>สาลี่</t>
  </si>
  <si>
    <t>งามสง่า</t>
  </si>
  <si>
    <t>8/5</t>
  </si>
  <si>
    <t>แย้มปู่</t>
  </si>
  <si>
    <t>มณีรัตน์</t>
  </si>
  <si>
    <t>ธัญญสกุลกิจ</t>
  </si>
  <si>
    <t>ลั่นทม</t>
  </si>
  <si>
    <t>ศรีลิ้มตี๋</t>
  </si>
  <si>
    <t>38/1</t>
  </si>
  <si>
    <t>ทองประไพ</t>
  </si>
  <si>
    <t>40/1</t>
  </si>
  <si>
    <t>40/2</t>
  </si>
  <si>
    <t>ส.ณ.</t>
  </si>
  <si>
    <t>มหา</t>
  </si>
  <si>
    <t>อาภรณ์</t>
  </si>
  <si>
    <t>จิวพานิช</t>
  </si>
  <si>
    <t>67/9</t>
  </si>
  <si>
    <t>วิศิษฎ์</t>
  </si>
  <si>
    <t>ค่ำสุริยัณห์</t>
  </si>
  <si>
    <t>40/6</t>
  </si>
  <si>
    <t>บุญชื่น</t>
  </si>
  <si>
    <t>สมไร่ขิง</t>
  </si>
  <si>
    <t>ม.5</t>
  </si>
  <si>
    <t>สุขตาล</t>
  </si>
  <si>
    <t>ดีสวัสดิ์</t>
  </si>
  <si>
    <t>แจ่มจันทร์</t>
  </si>
  <si>
    <t>ทองวงศ์ญาติ</t>
  </si>
  <si>
    <t>ศรีสุข</t>
  </si>
  <si>
    <t>ปลด</t>
  </si>
  <si>
    <t>เพียร</t>
  </si>
  <si>
    <t>น้อยสัมฤทธิ์</t>
  </si>
  <si>
    <t>ทองแววศรี</t>
  </si>
  <si>
    <t>ทุเรียน</t>
  </si>
  <si>
    <t>เวียน</t>
  </si>
  <si>
    <t>หลวยค้า</t>
  </si>
  <si>
    <t>ใย</t>
  </si>
  <si>
    <t>สวัสดีนาม</t>
  </si>
  <si>
    <t>ปราง</t>
  </si>
  <si>
    <t>ช้างทอง</t>
  </si>
  <si>
    <t>องค์การบริหารส่วนตำบลทรงคนอง  อำเภอสามพราน  จังหวัดนครปฐม</t>
  </si>
  <si>
    <t>ย้ายจ่ายถึง ก.ย.59</t>
  </si>
  <si>
    <t xml:space="preserve"> </t>
  </si>
  <si>
    <t>ม.1</t>
  </si>
  <si>
    <t>1/3</t>
  </si>
  <si>
    <t>3-7306-00574-45-6</t>
  </si>
  <si>
    <t>รับเบี้ย ต.ค.58 (งบ 59)</t>
  </si>
  <si>
    <t>ณัฐกนก</t>
  </si>
  <si>
    <t>สุวรรณภูชัย</t>
  </si>
  <si>
    <t>110/9</t>
  </si>
  <si>
    <t>3-1020-01949-83-2</t>
  </si>
  <si>
    <t>เปรมปราโมทย์</t>
  </si>
  <si>
    <t>128/22</t>
  </si>
  <si>
    <t>3-1020-00848-77-3</t>
  </si>
  <si>
    <t>เฉียบ</t>
  </si>
  <si>
    <t>ไกรรส</t>
  </si>
  <si>
    <t>126/11</t>
  </si>
  <si>
    <t>3-6303-00113-11-0</t>
  </si>
  <si>
    <t>จินนา</t>
  </si>
  <si>
    <t>เสวนะบัณฑิตแพทย์</t>
  </si>
  <si>
    <t>44/29</t>
  </si>
  <si>
    <t>3-1014-01183-58-5</t>
  </si>
  <si>
    <t>วรสิทธิ์</t>
  </si>
  <si>
    <t>สิงหศิริ</t>
  </si>
  <si>
    <t>101/42</t>
  </si>
  <si>
    <t>3-1014-00967-79-5</t>
  </si>
  <si>
    <t>กาญจนี</t>
  </si>
  <si>
    <t>3-7301-01476-31-9</t>
  </si>
  <si>
    <t>รุ่งทิวา</t>
  </si>
  <si>
    <t>3-5099-00364-48-1</t>
  </si>
  <si>
    <t>ขำสุวัฒน์</t>
  </si>
  <si>
    <t>91/224</t>
  </si>
  <si>
    <t>3-7401-00617-63-6</t>
  </si>
  <si>
    <t>วีนา</t>
  </si>
  <si>
    <t>บรรจงวิภารัตน์</t>
  </si>
  <si>
    <t>134/14</t>
  </si>
  <si>
    <t>3-1016-00546-58-1</t>
  </si>
  <si>
    <t>สุวาดี</t>
  </si>
  <si>
    <t>ทวีการ</t>
  </si>
  <si>
    <t>91/129</t>
  </si>
  <si>
    <t>3-1016-00861-02-8</t>
  </si>
  <si>
    <t>ฐานิกา</t>
  </si>
  <si>
    <t>สุภาบุตรี</t>
  </si>
  <si>
    <t>90/192</t>
  </si>
  <si>
    <t>3-1101-01817-04-9</t>
  </si>
  <si>
    <t>จวงสมุทร</t>
  </si>
  <si>
    <t>148/20</t>
  </si>
  <si>
    <t>3-4408-00745-76-1</t>
  </si>
  <si>
    <t>ภัทรพนิต</t>
  </si>
  <si>
    <t>กวีวุฒฑ์</t>
  </si>
  <si>
    <t>90/379</t>
  </si>
  <si>
    <t>3-1009-90005-81-3</t>
  </si>
  <si>
    <t>ทองหยุ่น</t>
  </si>
  <si>
    <t>ทองตาม</t>
  </si>
  <si>
    <t>139/24</t>
  </si>
  <si>
    <t>3-3012-00878-34-7</t>
  </si>
  <si>
    <t>พันธ์พวก</t>
  </si>
  <si>
    <t>91/136</t>
  </si>
  <si>
    <t>3-7602-00378-11-1</t>
  </si>
  <si>
    <t>จินตนา</t>
  </si>
  <si>
    <t>พฤกษาดอน</t>
  </si>
  <si>
    <t>90/149</t>
  </si>
  <si>
    <t>3-1007-00985-93-3</t>
  </si>
  <si>
    <t>นุชกุล</t>
  </si>
  <si>
    <t>91/373</t>
  </si>
  <si>
    <t>3-1020-02223-48-7</t>
  </si>
  <si>
    <t>โอ๋</t>
  </si>
  <si>
    <t>5-6606-00037-23-7</t>
  </si>
  <si>
    <t>จักรพงศ์</t>
  </si>
  <si>
    <t>นุชหรั่ง</t>
  </si>
  <si>
    <t>90/196</t>
  </si>
  <si>
    <t>3-7306-00277-41-9</t>
  </si>
  <si>
    <t>สุดใจ</t>
  </si>
  <si>
    <t>พลอยจำปา</t>
  </si>
  <si>
    <t>105/24</t>
  </si>
  <si>
    <t>3-3501-00289-63-2</t>
  </si>
  <si>
    <t>สุบิน</t>
  </si>
  <si>
    <t>102/20</t>
  </si>
  <si>
    <t>3-1022-01015-21-3</t>
  </si>
  <si>
    <t>ภพพงศ์</t>
  </si>
  <si>
    <t>บริสุทธิ์</t>
  </si>
  <si>
    <t>64/1</t>
  </si>
  <si>
    <t>3-1022-00236-46-1</t>
  </si>
  <si>
    <t>เร่งรัด</t>
  </si>
  <si>
    <t>90/30</t>
  </si>
  <si>
    <t>3-7101-00429-50-3</t>
  </si>
  <si>
    <t>สุวพิชญ์</t>
  </si>
  <si>
    <t>แซ่ล้อ</t>
  </si>
  <si>
    <t>148/41</t>
  </si>
  <si>
    <t>3-1001-00604-67-0</t>
  </si>
  <si>
    <t>3-7306-00144-93-1</t>
  </si>
  <si>
    <t>นาคประพันธุ์</t>
  </si>
  <si>
    <t>90/20</t>
  </si>
  <si>
    <t>3-7798-00304-09-4</t>
  </si>
  <si>
    <t>3-7306-00578-96-6</t>
  </si>
  <si>
    <t>คำภา</t>
  </si>
  <si>
    <t>3-1104-00075-44-3</t>
  </si>
  <si>
    <t>ต้อย</t>
  </si>
  <si>
    <t>สืบแย้ม</t>
  </si>
  <si>
    <t>135/1</t>
  </si>
  <si>
    <t>3-6301-00749-73-8</t>
  </si>
  <si>
    <t>ทรงม่วง</t>
  </si>
  <si>
    <t>3-1403-00153-07-8</t>
  </si>
  <si>
    <t>3-7306-00580-53-7</t>
  </si>
  <si>
    <t>เพชรเตียง</t>
  </si>
  <si>
    <t>ตั้งพิบูลย์เวช</t>
  </si>
  <si>
    <t>91/220</t>
  </si>
  <si>
    <t>3-1306-00594-55-0</t>
  </si>
  <si>
    <t>ทองรันต์</t>
  </si>
  <si>
    <t>สีหบัณฑ์</t>
  </si>
  <si>
    <t>112/4</t>
  </si>
  <si>
    <t>3-3399-00053-70-4</t>
  </si>
  <si>
    <t>พุทธิผล</t>
  </si>
  <si>
    <t>114/10</t>
  </si>
  <si>
    <t>3-1806-00314-51-4</t>
  </si>
  <si>
    <t>ปภานัน</t>
  </si>
  <si>
    <t>3-7306-00582-00-9</t>
  </si>
  <si>
    <t>เจียด</t>
  </si>
  <si>
    <t>3-7306-00597-86-3</t>
  </si>
  <si>
    <t>ภาษิต</t>
  </si>
  <si>
    <t>อินทร์แขก</t>
  </si>
  <si>
    <t>3-7306-00590-44-3</t>
  </si>
  <si>
    <t>สมหวัง</t>
  </si>
  <si>
    <t>3-7306-00591-00-8</t>
  </si>
  <si>
    <t>อยู่ยงค์</t>
  </si>
  <si>
    <t>27/5</t>
  </si>
  <si>
    <t>3-7306-00985-13-8</t>
  </si>
  <si>
    <t>อารินทร์</t>
  </si>
  <si>
    <t>3-7306-00582-20-3</t>
  </si>
  <si>
    <t>3-7306-00595-95-0</t>
  </si>
  <si>
    <t>สามารถ</t>
  </si>
  <si>
    <t>เจิมสุจริต</t>
  </si>
  <si>
    <t>3-1001-00206-20-8</t>
  </si>
  <si>
    <t>พะเยาว์</t>
  </si>
  <si>
    <t>ดอกอังชัน</t>
  </si>
  <si>
    <t>3-7207-00885-55-1</t>
  </si>
  <si>
    <t>แก้วไทรคลุ้ง</t>
  </si>
  <si>
    <t>67/7</t>
  </si>
  <si>
    <t>3-7306-00594-73-2</t>
  </si>
  <si>
    <t>63/1</t>
  </si>
  <si>
    <t>3-7001-00555-77-1</t>
  </si>
  <si>
    <t>พรนภา</t>
  </si>
  <si>
    <t>3-7306-00600-55-4</t>
  </si>
  <si>
    <t>สงวนวงศ์</t>
  </si>
  <si>
    <t>5-7306-00025-51-3</t>
  </si>
  <si>
    <t>3-7098-00007-35-9</t>
  </si>
  <si>
    <t>ตุ๊ก</t>
  </si>
  <si>
    <t>3-7306-00148-52-0</t>
  </si>
  <si>
    <t>3-7306-00600-77-5</t>
  </si>
  <si>
    <t>3-7306-00600-12-1</t>
  </si>
  <si>
    <t xml:space="preserve"> นาย</t>
  </si>
  <si>
    <t>ธีรยุทธิ์</t>
  </si>
  <si>
    <t>ศิลปธีรธร</t>
  </si>
  <si>
    <t>ม.6</t>
  </si>
  <si>
    <t>3-8498-00065-74-9</t>
  </si>
  <si>
    <t>สุธีระ</t>
  </si>
  <si>
    <t>ศรีสดใส</t>
  </si>
  <si>
    <t>3-7306-00135-19-3</t>
  </si>
  <si>
    <t>3-7306-00588-37-6</t>
  </si>
  <si>
    <t>3-7306-00589-25-9</t>
  </si>
  <si>
    <t>ศุขคุณ</t>
  </si>
  <si>
    <t>116</t>
  </si>
  <si>
    <t>3-1006-02110-72-0</t>
  </si>
  <si>
    <t>จันทร์ทิพย์</t>
  </si>
  <si>
    <t>3-7306-00588-03-1</t>
  </si>
  <si>
    <t>สริตา</t>
  </si>
  <si>
    <t>นรพัลลภ</t>
  </si>
  <si>
    <t>3-1022-00952-86-8</t>
  </si>
  <si>
    <t>เกิดยินดี</t>
  </si>
  <si>
    <t>3-7306-00578-91-5</t>
  </si>
  <si>
    <t>พร</t>
  </si>
  <si>
    <t>3-7306-00588-12-1</t>
  </si>
  <si>
    <t>วิมล</t>
  </si>
  <si>
    <t>3-7306-00586-86-1</t>
  </si>
  <si>
    <t>ย้ายมาจากหมู่ 2</t>
  </si>
  <si>
    <t>ย้ายมาจากหมู่ 1</t>
  </si>
  <si>
    <t>ณัฐชลัยย์</t>
  </si>
  <si>
    <t>คนจริง</t>
  </si>
  <si>
    <t>121/12</t>
  </si>
  <si>
    <t>บุญเจริญ</t>
  </si>
  <si>
    <t>108</t>
  </si>
  <si>
    <t>ณัฐชยภรณ์ (ฐาปนีย์)</t>
  </si>
  <si>
    <t>39/4   ใหม่</t>
  </si>
  <si>
    <t xml:space="preserve">                                                       รับรองความถูกต้อง........................................................</t>
  </si>
  <si>
    <t xml:space="preserve">                                                                         ( นางสาววรวีร์  ภมร )</t>
  </si>
  <si>
    <t>ชลอ</t>
  </si>
  <si>
    <t>3-7007-00383-95-4</t>
  </si>
  <si>
    <t xml:space="preserve">              </t>
  </si>
  <si>
    <t>จำหน่ายปี 60</t>
  </si>
  <si>
    <t xml:space="preserve">                                                                          นักพัฒนาชุมชนชำนาญการ</t>
  </si>
  <si>
    <t>รับเงินสด พ.ค.59เป็นต้นไป</t>
  </si>
  <si>
    <t>ขอเปลี่ยนแปลงการรับเบี้ย</t>
  </si>
  <si>
    <t>โอนเข้าบัญชีตนเอง</t>
  </si>
  <si>
    <t>.</t>
  </si>
  <si>
    <t>ขอเปลี่ยนบัญชีธนาคารจากเดิมกสิกรไทย เป็น ธ.ทหารไทย วันที่ 31 พ.ค.59</t>
  </si>
  <si>
    <t xml:space="preserve">                              นักพัฒนาชุมชนชำนาญการ</t>
  </si>
  <si>
    <t xml:space="preserve">                                       นักพัฒนาชุมชนชำนาญการ</t>
  </si>
  <si>
    <t>มาแจ้งขอรับรับเบี้ยแลัวเมื่อ 9 มิถุนายน 59</t>
  </si>
  <si>
    <t>ตัดจ่ายตั้งแต่ ก.ค.59</t>
  </si>
  <si>
    <t>ชะงอม</t>
  </si>
  <si>
    <t>มุ่งดี</t>
  </si>
  <si>
    <t>111/24</t>
  </si>
  <si>
    <t>รับเบี้ย ต.ค. 59 (งบ 60)</t>
  </si>
  <si>
    <t>ธนกฤต</t>
  </si>
  <si>
    <t>บุญท้วม</t>
  </si>
  <si>
    <t>135/17</t>
  </si>
  <si>
    <t>เหล่าคำ</t>
  </si>
  <si>
    <t>143/15</t>
  </si>
  <si>
    <t>งานดี</t>
  </si>
  <si>
    <t>128/24</t>
  </si>
  <si>
    <t>หาญวิชาชัย</t>
  </si>
  <si>
    <t>145/6</t>
  </si>
  <si>
    <t xml:space="preserve">ประดิษฐ </t>
  </si>
  <si>
    <t>คำถาวร</t>
  </si>
  <si>
    <t>90/299</t>
  </si>
  <si>
    <t>โกวิทย์</t>
  </si>
  <si>
    <t>มหาวงศ์</t>
  </si>
  <si>
    <t>132/10</t>
  </si>
  <si>
    <t>กรรณิกา</t>
  </si>
  <si>
    <t>แซ่แต้</t>
  </si>
  <si>
    <t>ขยันดี</t>
  </si>
  <si>
    <t>146/16</t>
  </si>
  <si>
    <t>ศรีเพ็ญ</t>
  </si>
  <si>
    <t>บั้งเงิน</t>
  </si>
  <si>
    <t>105/30</t>
  </si>
  <si>
    <t>มนัส</t>
  </si>
  <si>
    <t>รับเบี้ย ต.ค.59 (งบ 60)</t>
  </si>
  <si>
    <t>ธนิดา</t>
  </si>
  <si>
    <t>เย็นเปี่ยม</t>
  </si>
  <si>
    <t>126/15</t>
  </si>
  <si>
    <t>ภิรมย์</t>
  </si>
  <si>
    <t>อภิสิทธิ์</t>
  </si>
  <si>
    <t>เผ่าบรม</t>
  </si>
  <si>
    <t>91/273</t>
  </si>
  <si>
    <t>ประเสริฐมรรก</t>
  </si>
  <si>
    <t>นิโรจน์</t>
  </si>
  <si>
    <t>ประคอง</t>
  </si>
  <si>
    <t>ไทรทอง</t>
  </si>
  <si>
    <t>มังกร</t>
  </si>
  <si>
    <t>อาษา</t>
  </si>
  <si>
    <t>ม่วงเจริญ</t>
  </si>
  <si>
    <t>106/5</t>
  </si>
  <si>
    <t>เปรมฤดี</t>
  </si>
  <si>
    <t>ฤทธิ์บุญ</t>
  </si>
  <si>
    <t>90/156</t>
  </si>
  <si>
    <t>สยาม</t>
  </si>
  <si>
    <t>กุศลจิตต์</t>
  </si>
  <si>
    <t>91/228</t>
  </si>
  <si>
    <t>นวรัตน์</t>
  </si>
  <si>
    <t>เอี่ยมสุข</t>
  </si>
  <si>
    <t>139/18</t>
  </si>
  <si>
    <t>ศรีทองอินทร์</t>
  </si>
  <si>
    <t>วราภรณ์</t>
  </si>
  <si>
    <t>พงศ์มั่นจิต</t>
  </si>
  <si>
    <t>125/1</t>
  </si>
  <si>
    <t>เพ็ชร</t>
  </si>
  <si>
    <t>แสงแวง</t>
  </si>
  <si>
    <t>90/132</t>
  </si>
  <si>
    <t>นพธร</t>
  </si>
  <si>
    <t>ใจซื่อกุล</t>
  </si>
  <si>
    <t>108/13</t>
  </si>
  <si>
    <t>ตวงหลักธรรม</t>
  </si>
  <si>
    <t>111/4</t>
  </si>
  <si>
    <t>อภิณี</t>
  </si>
  <si>
    <t>นกน้อย</t>
  </si>
  <si>
    <t>อุบลวรรณ</t>
  </si>
  <si>
    <t>ไชยสาร</t>
  </si>
  <si>
    <t>หนูทิพย์</t>
  </si>
  <si>
    <t>ฟรีสันเทียะ</t>
  </si>
  <si>
    <t>18/3</t>
  </si>
  <si>
    <t>ศิริบุญ</t>
  </si>
  <si>
    <t>44/48</t>
  </si>
  <si>
    <t>เอกพล</t>
  </si>
  <si>
    <t>สุขกิจ</t>
  </si>
  <si>
    <t>125/23</t>
  </si>
  <si>
    <t>วิภา</t>
  </si>
  <si>
    <t>แสงจันทร์</t>
  </si>
  <si>
    <t>79/2</t>
  </si>
  <si>
    <t>สรินยา</t>
  </si>
  <si>
    <t>วงศ์ปทุมรักษ์</t>
  </si>
  <si>
    <t>82/2</t>
  </si>
  <si>
    <t>พวงเงิน</t>
  </si>
  <si>
    <t>สุนทรียา</t>
  </si>
  <si>
    <t>คำพิมพ์</t>
  </si>
  <si>
    <t>112/16</t>
  </si>
  <si>
    <t>ดลชาภา</t>
  </si>
  <si>
    <t>ภูธนเดชา</t>
  </si>
  <si>
    <t>90/28</t>
  </si>
  <si>
    <t>รัชนี</t>
  </si>
  <si>
    <t>เชื้อคำ</t>
  </si>
  <si>
    <t>91/386</t>
  </si>
  <si>
    <t>รัตนา</t>
  </si>
  <si>
    <t>สีเข้ม</t>
  </si>
  <si>
    <t>73/6</t>
  </si>
  <si>
    <t>หงอิง</t>
  </si>
  <si>
    <t>จาง</t>
  </si>
  <si>
    <t>99/9</t>
  </si>
  <si>
    <t>นิฉันท์</t>
  </si>
  <si>
    <t>มนูญ</t>
  </si>
  <si>
    <t>ชุติมา</t>
  </si>
  <si>
    <t>กัลยา</t>
  </si>
  <si>
    <t>38/3</t>
  </si>
  <si>
    <t>ขุนทอง</t>
  </si>
  <si>
    <t>37/8</t>
  </si>
  <si>
    <t>รับเบี้ย ต.ค.59 (งบ60)</t>
  </si>
  <si>
    <t>อ่อนหวาน</t>
  </si>
  <si>
    <t>27/2</t>
  </si>
  <si>
    <t>21/1</t>
  </si>
  <si>
    <t>สมเกียรติ</t>
  </si>
  <si>
    <t>ณัฐสนนท์</t>
  </si>
  <si>
    <t>คณิต</t>
  </si>
  <si>
    <t>ทะนงค์</t>
  </si>
  <si>
    <t>จรัญ</t>
  </si>
  <si>
    <t>เสาวลักษณ์</t>
  </si>
  <si>
    <t>ชัชวาล</t>
  </si>
  <si>
    <t>เสนอ</t>
  </si>
  <si>
    <t>จันทร์เพ็ญ</t>
  </si>
  <si>
    <t>ฤทธิบันลือ</t>
  </si>
  <si>
    <t>เจริญพงศ์</t>
  </si>
  <si>
    <t>75/2</t>
  </si>
  <si>
    <t>ปั่น</t>
  </si>
  <si>
    <t>จั่นวิลัย</t>
  </si>
  <si>
    <t>บัญชีรายชื่อผู้มีสิทธิได้รับเงินเบี้ยยังชีพผู้สูงอายุ ประจำปีงบประมาณ พ.ศ. 2560</t>
  </si>
  <si>
    <t>ศรีไทยพันธ์</t>
  </si>
  <si>
    <t>มาแสดงตนแล้วเมื่อ 22 ก.ค.59</t>
  </si>
  <si>
    <t>เสียชีวิต   ก.ย. 59</t>
  </si>
  <si>
    <t>ตรวจสอบสถานะย้ายไปเขตสายไหมเมื่อ 21 ก.ค.58</t>
  </si>
  <si>
    <t>139/5</t>
  </si>
  <si>
    <t>คนึง</t>
  </si>
  <si>
    <t>ลิ้มบรรจง</t>
  </si>
  <si>
    <t>เกษร</t>
  </si>
  <si>
    <t>เสียชีวิต 22 กันยายน 59</t>
  </si>
  <si>
    <t>รายนี้ไม่ได้จ่ายเบี้ยเสียชีวิตก่อน</t>
  </si>
  <si>
    <t>ย้ายจ่ายถึงกันยายน 60</t>
  </si>
  <si>
    <t>หอมเกร็ดแจ้งขอจำหน่าย 17/11/59</t>
  </si>
  <si>
    <t>เสียชีวิต  5 ธ.ค.59  (ระงับเบี้ย ม.ค.60)</t>
  </si>
  <si>
    <t>ย้ายจ่ายถึง ก.ย.60</t>
  </si>
  <si>
    <t>ระงับเบี้ย ม.ค. 60</t>
  </si>
  <si>
    <t>ระงับจ่ายแล้ว</t>
  </si>
  <si>
    <t>จ่ายถึง ก.ย. 60</t>
  </si>
  <si>
    <t>จำหน่ายในระบบไปแล้ว</t>
  </si>
  <si>
    <t>โอนเข้าบัญชีผู้รับมอบอำนาจ</t>
  </si>
  <si>
    <t>นางยุพิน  จันทร์หอม  ธกส.</t>
  </si>
  <si>
    <t>โอนเข้าบัญชีตนเอง ธกส.</t>
  </si>
  <si>
    <t>โอนเข้าบัญชีป้ายุพาฯ</t>
  </si>
  <si>
    <t>โอนเข้าบัญชีนางน้ำฝน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</si>
  <si>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</si>
  <si>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ระงับจ่าย ธ.ค.59 ตาย 14 พ.ย.59</t>
  </si>
  <si>
    <t>เสียชีวิต  ธ.ค. 2559 ระงับเบี้ย ม.ค.60</t>
  </si>
  <si>
    <t>เสียชีวิต 1 มีนาคม 60</t>
  </si>
  <si>
    <t>แสดงตน 8 มี.ค.60</t>
  </si>
  <si>
    <t>เริ่มโอนเข้าบัญชีเดือน เมษายน 2560</t>
  </si>
  <si>
    <t>เปลี่ยนเป็นโอนเข้าบัญชีแล้ว</t>
  </si>
  <si>
    <t xml:space="preserve">                               องค์การบริหารส่วนตำบลทรงคนอง  อำเภอสามราน  จังหวัดนครปฐม</t>
  </si>
  <si>
    <t>ตาย ระงับจ่ายเม.ย.60</t>
  </si>
  <si>
    <t>สรุปยอดผู้มีสิทธิรับเบี้ยยังชีพผู้สูงอายุ ประจำปีงบประมาณ พ.ศ. 2560 (แยกตามช่วงอายุ)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</si>
</sst>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\ yyyy"/>
    <numFmt numFmtId="188" formatCode="0\-0000\-00000\-00\-0"/>
    <numFmt numFmtId="189" formatCode="000\-0\-00000\-0"/>
    <numFmt numFmtId="190" formatCode="&quot;ม.&quot;0"/>
    <numFmt numFmtId="191" formatCode="&quot; ม.&quot;0"/>
    <numFmt numFmtId="192" formatCode="mmm\-yyyy"/>
    <numFmt numFmtId="193" formatCode="yyyy"/>
    <numFmt numFmtId="194" formatCode="&quot;พ.ศ. &quot;yyyy"/>
    <numFmt numFmtId="195" formatCode="d\ \ ดดด\ \ yyyy"/>
    <numFmt numFmtId="196" formatCode="d\ ดดด\ yy"/>
    <numFmt numFmtId="197" formatCode="&quot;ประจำวันที่  &quot;\ d\ ดดด\ bbbb"/>
    <numFmt numFmtId="198" formatCode="&quot;ประจำวันที่  &quot;\ d\ ดดดด\ yyyy"/>
    <numFmt numFmtId="199" formatCode="&quot;ประจำวันที่  &quot;\ d\ \ ดดดด\ \ yyyy"/>
    <numFmt numFmtId="200" formatCode="&quot;ในวันที่  &quot;d\ \ ดดดด\ \ yyyy"/>
    <numFmt numFmtId="201" formatCode="&quot;ประจำวันที่&quot;\ \ d\ \ ดดดด\ \ yyyy"/>
    <numFmt numFmtId="202" formatCode="0\ \ร\า\ย"/>
    <numFmt numFmtId="203" formatCode="0\ \ \ร\า\ย"/>
    <numFmt numFmtId="204" formatCode="d\ ดดดด\ yyyy"/>
    <numFmt numFmtId="205" formatCode="0.0"/>
    <numFmt numFmtId="206" formatCode="[$-41E]d\ mmmm\ yyyy"/>
    <numFmt numFmtId="207" formatCode="d\ \ ดดดด\ \ yyyy"/>
    <numFmt numFmtId="208" formatCode="&quot;หมู่ที่&quot;\ 0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_-* #,##0.0_-;\-* #,##0.0_-;_-* &quot;-&quot;??_-;_-@_-"/>
    <numFmt numFmtId="214" formatCode="_-* #,##0_-;\-* #,##0_-;_-* &quot;-&quot;??_-;_-@_-"/>
    <numFmt numFmtId="215" formatCode="&quot;ม.&quot;\ 0"/>
    <numFmt numFmtId="216" formatCode="0\ 00000000000"/>
    <numFmt numFmtId="217" formatCode="&quot;(&quot;@&quot;)&quot;"/>
    <numFmt numFmtId="218" formatCode="&quot;งวดประจำเดือน&quot;\ \ ดดดด\ \ yyyy"/>
    <numFmt numFmtId="219" formatCode="ดดด\ yyyy"/>
    <numFmt numFmtId="220" formatCode="&quot;เสียชีวิต &quot;d\ ดดด\ yyyy"/>
    <numFmt numFmtId="221" formatCode="&quot;01&quot;000\-0\-00000\-0"/>
    <numFmt numFmtId="222" formatCode="&quot;01&quot;0000000000"/>
    <numFmt numFmtId="223" formatCode="0\1\6\2\9\-\2\8\4\9\3\-\4\-\4"/>
    <numFmt numFmtId="224" formatCode="00000\-0\-00000\-0"/>
    <numFmt numFmtId="225" formatCode="[$-D000000]0\ 0000\ 00000\ 00\ 0"/>
    <numFmt numFmtId="226" formatCode="[$-1000000]00\-0000000\-0"/>
    <numFmt numFmtId="227" formatCode="[$-1000000]0\ 0000\ 00000\ 00\ 0"/>
  </numFmts>
  <fonts count="10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sz val="5"/>
      <name val="Angsana New"/>
      <family val="1"/>
    </font>
    <font>
      <sz val="5"/>
      <color indexed="9"/>
      <name val="Angsana New"/>
      <family val="1"/>
    </font>
    <font>
      <b/>
      <sz val="5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b/>
      <sz val="11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sz val="14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sz val="10"/>
      <name val="Angsana New"/>
      <family val="1"/>
    </font>
    <font>
      <sz val="12"/>
      <name val="Angsana New"/>
      <family val="1"/>
    </font>
    <font>
      <sz val="9"/>
      <name val="Angsana New"/>
      <family val="1"/>
    </font>
    <font>
      <b/>
      <sz val="9"/>
      <name val="Angsana New"/>
      <family val="1"/>
    </font>
    <font>
      <b/>
      <sz val="16"/>
      <name val="TH SarabunPSK"/>
      <family val="2"/>
    </font>
    <font>
      <b/>
      <sz val="2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5"/>
      <color indexed="10"/>
      <name val="Angsana New"/>
      <family val="1"/>
    </font>
    <font>
      <b/>
      <sz val="14"/>
      <color indexed="10"/>
      <name val="Angsana New"/>
      <family val="1"/>
    </font>
    <font>
      <sz val="14"/>
      <color indexed="10"/>
      <name val="Angsana New"/>
      <family val="1"/>
    </font>
    <font>
      <b/>
      <sz val="18"/>
      <color indexed="10"/>
      <name val="Angsana New"/>
      <family val="1"/>
    </font>
    <font>
      <sz val="18"/>
      <color indexed="10"/>
      <name val="Angsana New"/>
      <family val="1"/>
    </font>
    <font>
      <b/>
      <sz val="13"/>
      <color indexed="10"/>
      <name val="Angsana New"/>
      <family val="1"/>
    </font>
    <font>
      <sz val="14"/>
      <color indexed="30"/>
      <name val="Angsana New"/>
      <family val="1"/>
    </font>
    <font>
      <sz val="16"/>
      <color indexed="10"/>
      <name val="Angsana New"/>
      <family val="1"/>
    </font>
    <font>
      <sz val="9"/>
      <color indexed="30"/>
      <name val="Angsana New"/>
      <family val="1"/>
    </font>
    <font>
      <sz val="9"/>
      <color indexed="10"/>
      <name val="Angsana New"/>
      <family val="1"/>
    </font>
    <font>
      <sz val="20"/>
      <color indexed="10"/>
      <name val="Angsana New"/>
      <family val="1"/>
    </font>
    <font>
      <b/>
      <sz val="16"/>
      <color indexed="10"/>
      <name val="Angsana New"/>
      <family val="1"/>
    </font>
    <font>
      <b/>
      <sz val="16"/>
      <color indexed="8"/>
      <name val="TH SarabunPSK"/>
      <family val="2"/>
    </font>
    <font>
      <b/>
      <sz val="16"/>
      <color indexed="12"/>
      <name val="TH SarabunPSK"/>
      <family val="2"/>
    </font>
    <font>
      <sz val="12"/>
      <color indexed="10"/>
      <name val="Angsana New"/>
      <family val="1"/>
    </font>
    <font>
      <b/>
      <sz val="16"/>
      <color indexed="60"/>
      <name val="Angsana New"/>
      <family val="1"/>
    </font>
    <font>
      <b/>
      <sz val="12"/>
      <color indexed="10"/>
      <name val="Angsana New"/>
      <family val="1"/>
    </font>
    <font>
      <sz val="12"/>
      <color indexed="30"/>
      <name val="Angsana New"/>
      <family val="1"/>
    </font>
    <font>
      <sz val="12"/>
      <color indexed="60"/>
      <name val="Angsana New"/>
      <family val="1"/>
    </font>
    <font>
      <sz val="12"/>
      <color indexed="17"/>
      <name val="Angsana New"/>
      <family val="1"/>
    </font>
    <font>
      <sz val="11"/>
      <color indexed="10"/>
      <name val="Angsana New"/>
      <family val="1"/>
    </font>
    <font>
      <sz val="10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5"/>
      <color rgb="FFFF0000"/>
      <name val="Angsana New"/>
      <family val="1"/>
    </font>
    <font>
      <b/>
      <sz val="14"/>
      <color rgb="FFFF0000"/>
      <name val="Angsana New"/>
      <family val="1"/>
    </font>
    <font>
      <sz val="14"/>
      <color rgb="FFFF0000"/>
      <name val="Angsana New"/>
      <family val="1"/>
    </font>
    <font>
      <b/>
      <sz val="18"/>
      <color rgb="FFFF0000"/>
      <name val="Angsana New"/>
      <family val="1"/>
    </font>
    <font>
      <sz val="18"/>
      <color rgb="FFFF0000"/>
      <name val="Angsana New"/>
      <family val="1"/>
    </font>
    <font>
      <b/>
      <sz val="13"/>
      <color rgb="FFFF0000"/>
      <name val="Angsana New"/>
      <family val="1"/>
    </font>
    <font>
      <sz val="14"/>
      <color rgb="FF0070C0"/>
      <name val="Angsana New"/>
      <family val="1"/>
    </font>
    <font>
      <sz val="16"/>
      <color rgb="FFFF0000"/>
      <name val="Angsana New"/>
      <family val="1"/>
    </font>
    <font>
      <sz val="9"/>
      <color rgb="FF0070C0"/>
      <name val="Angsana New"/>
      <family val="1"/>
    </font>
    <font>
      <sz val="9"/>
      <color rgb="FFFF0000"/>
      <name val="Angsana New"/>
      <family val="1"/>
    </font>
    <font>
      <sz val="20"/>
      <color rgb="FFFF0000"/>
      <name val="Angsana New"/>
      <family val="1"/>
    </font>
    <font>
      <b/>
      <sz val="16"/>
      <color rgb="FFFF0000"/>
      <name val="Angsana New"/>
      <family val="1"/>
    </font>
    <font>
      <b/>
      <sz val="16"/>
      <color theme="1"/>
      <name val="TH SarabunPSK"/>
      <family val="2"/>
    </font>
    <font>
      <b/>
      <sz val="16"/>
      <color rgb="FF0000CC"/>
      <name val="TH SarabunPSK"/>
      <family val="2"/>
    </font>
    <font>
      <sz val="12"/>
      <color rgb="FFFF0000"/>
      <name val="Angsana New"/>
      <family val="1"/>
    </font>
    <font>
      <b/>
      <sz val="16"/>
      <color rgb="FFC00000"/>
      <name val="Angsana New"/>
      <family val="1"/>
    </font>
    <font>
      <b/>
      <sz val="12"/>
      <color rgb="FFFF0000"/>
      <name val="Angsana New"/>
      <family val="1"/>
    </font>
    <font>
      <sz val="12"/>
      <color rgb="FF0070C0"/>
      <name val="Angsana New"/>
      <family val="1"/>
    </font>
    <font>
      <sz val="12"/>
      <color rgb="FFC00000"/>
      <name val="Angsana New"/>
      <family val="1"/>
    </font>
    <font>
      <sz val="12"/>
      <color rgb="FF00B050"/>
      <name val="Angsana New"/>
      <family val="1"/>
    </font>
    <font>
      <sz val="11"/>
      <color rgb="FFFF0000"/>
      <name val="Angsana New"/>
      <family val="1"/>
    </font>
    <font>
      <sz val="10"/>
      <color rgb="FFFF0000"/>
      <name val="Angsana New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2" applyNumberFormat="0" applyAlignment="0" applyProtection="0"/>
    <xf numFmtId="0" fontId="68" fillId="0" borderId="3" applyNumberFormat="0" applyFill="0" applyAlignment="0" applyProtection="0"/>
    <xf numFmtId="0" fontId="69" fillId="22" borderId="0" applyNumberFormat="0" applyBorder="0" applyAlignment="0" applyProtection="0"/>
    <xf numFmtId="0" fontId="0" fillId="0" borderId="0">
      <alignment/>
      <protection/>
    </xf>
    <xf numFmtId="0" fontId="70" fillId="23" borderId="1" applyNumberFormat="0" applyAlignment="0" applyProtection="0"/>
    <xf numFmtId="0" fontId="71" fillId="24" borderId="0" applyNumberFormat="0" applyBorder="0" applyAlignment="0" applyProtection="0"/>
    <xf numFmtId="0" fontId="72" fillId="0" borderId="4" applyNumberFormat="0" applyFill="0" applyAlignment="0" applyProtection="0"/>
    <xf numFmtId="0" fontId="73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74" fillId="20" borderId="5" applyNumberFormat="0" applyAlignment="0" applyProtection="0"/>
    <xf numFmtId="0" fontId="0" fillId="32" borderId="6" applyNumberFormat="0" applyFont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497">
    <xf numFmtId="0" fontId="0" fillId="0" borderId="0" xfId="0" applyAlignment="1">
      <alignment/>
    </xf>
    <xf numFmtId="0" fontId="4" fillId="33" borderId="0" xfId="0" applyFont="1" applyFill="1" applyAlignment="1">
      <alignment vertical="center" shrinkToFit="1"/>
    </xf>
    <xf numFmtId="3" fontId="5" fillId="33" borderId="0" xfId="33" applyNumberFormat="1" applyFont="1" applyFill="1" applyAlignment="1">
      <alignment horizontal="center" vertical="center" shrinkToFit="1"/>
    </xf>
    <xf numFmtId="187" fontId="6" fillId="33" borderId="0" xfId="0" applyNumberFormat="1" applyFont="1" applyFill="1" applyAlignment="1">
      <alignment horizontal="left" vertical="center" shrinkToFit="1"/>
    </xf>
    <xf numFmtId="0" fontId="5" fillId="33" borderId="0" xfId="0" applyFont="1" applyFill="1" applyAlignment="1">
      <alignment vertical="center" shrinkToFit="1"/>
    </xf>
    <xf numFmtId="0" fontId="5" fillId="33" borderId="0" xfId="0" applyFont="1" applyFill="1" applyAlignment="1">
      <alignment horizontal="left" vertical="center" shrinkToFit="1"/>
    </xf>
    <xf numFmtId="49" fontId="5" fillId="33" borderId="0" xfId="0" applyNumberFormat="1" applyFont="1" applyFill="1" applyAlignment="1">
      <alignment vertical="center" shrinkToFit="1"/>
    </xf>
    <xf numFmtId="3" fontId="8" fillId="33" borderId="10" xfId="33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3" fontId="12" fillId="33" borderId="0" xfId="33" applyNumberFormat="1" applyFont="1" applyFill="1" applyBorder="1" applyAlignment="1">
      <alignment horizontal="center" vertical="center" shrinkToFit="1"/>
    </xf>
    <xf numFmtId="0" fontId="8" fillId="33" borderId="11" xfId="0" applyNumberFormat="1" applyFont="1" applyFill="1" applyBorder="1" applyAlignment="1">
      <alignment horizontal="center" vertical="center" shrinkToFit="1"/>
    </xf>
    <xf numFmtId="0" fontId="9" fillId="33" borderId="10" xfId="0" applyNumberFormat="1" applyFont="1" applyFill="1" applyBorder="1" applyAlignment="1">
      <alignment horizontal="center" vertical="center" wrapText="1" shrinkToFit="1"/>
    </xf>
    <xf numFmtId="0" fontId="9" fillId="33" borderId="12" xfId="0" applyNumberFormat="1" applyFont="1" applyFill="1" applyBorder="1" applyAlignment="1">
      <alignment horizontal="center" vertical="center" wrapText="1" shrinkToFit="1"/>
    </xf>
    <xf numFmtId="0" fontId="8" fillId="33" borderId="10" xfId="0" applyFont="1" applyFill="1" applyBorder="1" applyAlignment="1">
      <alignment horizontal="center" vertical="center" wrapText="1" shrinkToFit="1"/>
    </xf>
    <xf numFmtId="0" fontId="8" fillId="33" borderId="11" xfId="0" applyFont="1" applyFill="1" applyBorder="1" applyAlignment="1">
      <alignment horizontal="center" vertical="center" wrapText="1" shrinkToFit="1"/>
    </xf>
    <xf numFmtId="0" fontId="12" fillId="33" borderId="0" xfId="0" applyFont="1" applyFill="1" applyAlignment="1">
      <alignment vertical="center" shrinkToFit="1"/>
    </xf>
    <xf numFmtId="3" fontId="13" fillId="33" borderId="10" xfId="33" applyNumberFormat="1" applyFont="1" applyFill="1" applyBorder="1" applyAlignment="1">
      <alignment horizontal="center" vertical="center" shrinkToFit="1"/>
    </xf>
    <xf numFmtId="0" fontId="13" fillId="33" borderId="13" xfId="0" applyFont="1" applyFill="1" applyBorder="1" applyAlignment="1">
      <alignment vertical="center" shrinkToFit="1"/>
    </xf>
    <xf numFmtId="0" fontId="13" fillId="33" borderId="11" xfId="0" applyFont="1" applyFill="1" applyBorder="1" applyAlignment="1">
      <alignment vertical="center" shrinkToFit="1"/>
    </xf>
    <xf numFmtId="0" fontId="13" fillId="33" borderId="12" xfId="0" applyFont="1" applyFill="1" applyBorder="1" applyAlignment="1">
      <alignment vertical="center" shrinkToFit="1"/>
    </xf>
    <xf numFmtId="49" fontId="13" fillId="33" borderId="13" xfId="0" applyNumberFormat="1" applyFont="1" applyFill="1" applyBorder="1" applyAlignment="1">
      <alignment horizontal="center" vertical="center" shrinkToFit="1"/>
    </xf>
    <xf numFmtId="190" fontId="13" fillId="33" borderId="12" xfId="0" applyNumberFormat="1" applyFont="1" applyFill="1" applyBorder="1" applyAlignment="1">
      <alignment horizontal="left" vertical="center" shrinkToFit="1"/>
    </xf>
    <xf numFmtId="188" fontId="13" fillId="33" borderId="10" xfId="0" applyNumberFormat="1" applyFont="1" applyFill="1" applyBorder="1" applyAlignment="1">
      <alignment horizontal="center" vertical="center" shrinkToFit="1"/>
    </xf>
    <xf numFmtId="187" fontId="13" fillId="33" borderId="10" xfId="0" applyNumberFormat="1" applyFont="1" applyFill="1" applyBorder="1" applyAlignment="1">
      <alignment horizontal="center" vertical="center" shrinkToFit="1"/>
    </xf>
    <xf numFmtId="0" fontId="13" fillId="33" borderId="10" xfId="0" applyFont="1" applyFill="1" applyBorder="1" applyAlignment="1">
      <alignment horizontal="center" vertical="center" shrinkToFit="1"/>
    </xf>
    <xf numFmtId="214" fontId="13" fillId="33" borderId="12" xfId="33" applyNumberFormat="1" applyFont="1" applyFill="1" applyBorder="1" applyAlignment="1">
      <alignment horizontal="right" vertical="center" shrinkToFit="1"/>
    </xf>
    <xf numFmtId="214" fontId="12" fillId="33" borderId="12" xfId="33" applyNumberFormat="1" applyFont="1" applyFill="1" applyBorder="1" applyAlignment="1">
      <alignment horizontal="right" vertical="center" shrinkToFit="1"/>
    </xf>
    <xf numFmtId="3" fontId="4" fillId="33" borderId="0" xfId="33" applyNumberFormat="1" applyFont="1" applyFill="1" applyBorder="1" applyAlignment="1">
      <alignment horizontal="center" vertical="center" shrinkToFit="1"/>
    </xf>
    <xf numFmtId="208" fontId="4" fillId="33" borderId="14" xfId="0" applyNumberFormat="1" applyFont="1" applyFill="1" applyBorder="1" applyAlignment="1">
      <alignment horizontal="center" vertical="center"/>
    </xf>
    <xf numFmtId="3" fontId="4" fillId="33" borderId="15" xfId="0" applyNumberFormat="1" applyFont="1" applyFill="1" applyBorder="1" applyAlignment="1">
      <alignment horizontal="center" vertical="center" shrinkToFit="1"/>
    </xf>
    <xf numFmtId="3" fontId="4" fillId="33" borderId="0" xfId="0" applyNumberFormat="1" applyFont="1" applyFill="1" applyAlignment="1">
      <alignment horizontal="center" vertical="center" shrinkToFit="1"/>
    </xf>
    <xf numFmtId="43" fontId="4" fillId="33" borderId="16" xfId="33" applyFont="1" applyFill="1" applyBorder="1" applyAlignment="1">
      <alignment vertical="center"/>
    </xf>
    <xf numFmtId="208" fontId="4" fillId="33" borderId="0" xfId="0" applyNumberFormat="1" applyFont="1" applyFill="1" applyAlignment="1">
      <alignment horizontal="center" vertical="center"/>
    </xf>
    <xf numFmtId="43" fontId="4" fillId="33" borderId="17" xfId="33" applyFont="1" applyFill="1" applyBorder="1" applyAlignment="1">
      <alignment vertical="center"/>
    </xf>
    <xf numFmtId="214" fontId="13" fillId="33" borderId="10" xfId="33" applyNumberFormat="1" applyFont="1" applyFill="1" applyBorder="1" applyAlignment="1">
      <alignment horizontal="right" vertical="center" shrinkToFit="1"/>
    </xf>
    <xf numFmtId="214" fontId="12" fillId="33" borderId="10" xfId="33" applyNumberFormat="1" applyFont="1" applyFill="1" applyBorder="1" applyAlignment="1">
      <alignment horizontal="right" vertical="center" shrinkToFit="1"/>
    </xf>
    <xf numFmtId="208" fontId="4" fillId="33" borderId="18" xfId="0" applyNumberFormat="1" applyFont="1" applyFill="1" applyBorder="1" applyAlignment="1">
      <alignment horizontal="center" vertical="center"/>
    </xf>
    <xf numFmtId="43" fontId="4" fillId="33" borderId="19" xfId="33" applyFont="1" applyFill="1" applyBorder="1" applyAlignment="1">
      <alignment vertical="center"/>
    </xf>
    <xf numFmtId="0" fontId="13" fillId="33" borderId="0" xfId="0" applyFont="1" applyFill="1" applyAlignment="1">
      <alignment vertical="center" shrinkToFit="1"/>
    </xf>
    <xf numFmtId="0" fontId="3" fillId="33" borderId="20" xfId="0" applyFont="1" applyFill="1" applyBorder="1" applyAlignment="1">
      <alignment horizontal="center" vertical="center" shrinkToFit="1"/>
    </xf>
    <xf numFmtId="3" fontId="4" fillId="33" borderId="21" xfId="0" applyNumberFormat="1" applyFont="1" applyFill="1" applyBorder="1" applyAlignment="1">
      <alignment horizontal="center" vertical="center" shrinkToFit="1"/>
    </xf>
    <xf numFmtId="43" fontId="3" fillId="33" borderId="22" xfId="33" applyFont="1" applyFill="1" applyBorder="1" applyAlignment="1">
      <alignment vertical="center" shrinkToFit="1"/>
    </xf>
    <xf numFmtId="187" fontId="14" fillId="33" borderId="0" xfId="0" applyNumberFormat="1" applyFont="1" applyFill="1" applyBorder="1" applyAlignment="1">
      <alignment horizontal="center" vertical="center"/>
    </xf>
    <xf numFmtId="49" fontId="13" fillId="33" borderId="0" xfId="0" applyNumberFormat="1" applyFont="1" applyFill="1" applyAlignment="1">
      <alignment horizontal="center" vertical="center" shrinkToFit="1"/>
    </xf>
    <xf numFmtId="49" fontId="13" fillId="33" borderId="0" xfId="0" applyNumberFormat="1" applyFont="1" applyFill="1" applyAlignment="1">
      <alignment horizontal="left" vertical="center" shrinkToFit="1"/>
    </xf>
    <xf numFmtId="188" fontId="13" fillId="33" borderId="0" xfId="0" applyNumberFormat="1" applyFont="1" applyFill="1" applyAlignment="1">
      <alignment horizontal="center" vertical="center" shrinkToFit="1"/>
    </xf>
    <xf numFmtId="187" fontId="13" fillId="33" borderId="0" xfId="0" applyNumberFormat="1" applyFont="1" applyFill="1" applyAlignment="1">
      <alignment horizontal="center" vertical="center" shrinkToFit="1"/>
    </xf>
    <xf numFmtId="0" fontId="13" fillId="33" borderId="0" xfId="0" applyFont="1" applyFill="1" applyAlignment="1">
      <alignment horizontal="center" vertical="center" shrinkToFit="1"/>
    </xf>
    <xf numFmtId="49" fontId="13" fillId="33" borderId="0" xfId="0" applyNumberFormat="1" applyFont="1" applyFill="1" applyAlignment="1">
      <alignment vertical="center" shrinkToFit="1"/>
    </xf>
    <xf numFmtId="0" fontId="3" fillId="33" borderId="0" xfId="0" applyNumberFormat="1" applyFont="1" applyFill="1" applyAlignment="1">
      <alignment vertical="center" shrinkToFit="1"/>
    </xf>
    <xf numFmtId="0" fontId="4" fillId="33" borderId="0" xfId="0" applyNumberFormat="1" applyFont="1" applyFill="1" applyAlignment="1">
      <alignment vertical="center" shrinkToFit="1"/>
    </xf>
    <xf numFmtId="0" fontId="13" fillId="33" borderId="23" xfId="0" applyFont="1" applyFill="1" applyBorder="1" applyAlignment="1">
      <alignment horizontal="center" vertical="center" shrinkToFit="1"/>
    </xf>
    <xf numFmtId="0" fontId="13" fillId="33" borderId="0" xfId="0" applyFont="1" applyFill="1" applyBorder="1" applyAlignment="1">
      <alignment horizontal="center" vertical="center" shrinkToFit="1"/>
    </xf>
    <xf numFmtId="0" fontId="13" fillId="33" borderId="0" xfId="0" applyFont="1" applyFill="1" applyBorder="1" applyAlignment="1">
      <alignment vertical="center" shrinkToFit="1"/>
    </xf>
    <xf numFmtId="187" fontId="13" fillId="33" borderId="0" xfId="0" applyNumberFormat="1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vertical="center" shrinkToFit="1"/>
    </xf>
    <xf numFmtId="49" fontId="8" fillId="34" borderId="14" xfId="0" applyNumberFormat="1" applyFont="1" applyFill="1" applyBorder="1" applyAlignment="1">
      <alignment horizontal="center" vertical="center" shrinkToFit="1"/>
    </xf>
    <xf numFmtId="190" fontId="8" fillId="34" borderId="14" xfId="0" applyNumberFormat="1" applyFont="1" applyFill="1" applyBorder="1" applyAlignment="1">
      <alignment horizontal="left" vertical="center" shrinkToFit="1"/>
    </xf>
    <xf numFmtId="3" fontId="8" fillId="34" borderId="11" xfId="33" applyNumberFormat="1" applyFont="1" applyFill="1" applyBorder="1" applyAlignment="1">
      <alignment horizontal="right" vertical="center"/>
    </xf>
    <xf numFmtId="187" fontId="8" fillId="34" borderId="11" xfId="0" applyNumberFormat="1" applyFont="1" applyFill="1" applyBorder="1" applyAlignment="1">
      <alignment horizontal="center" vertical="center" shrinkToFit="1"/>
    </xf>
    <xf numFmtId="0" fontId="8" fillId="34" borderId="11" xfId="0" applyFont="1" applyFill="1" applyBorder="1" applyAlignment="1">
      <alignment horizontal="center" vertical="center" shrinkToFit="1"/>
    </xf>
    <xf numFmtId="3" fontId="8" fillId="34" borderId="24" xfId="33" applyNumberFormat="1" applyFont="1" applyFill="1" applyBorder="1" applyAlignment="1">
      <alignment horizontal="right" vertical="center" shrinkToFit="1"/>
    </xf>
    <xf numFmtId="3" fontId="11" fillId="34" borderId="24" xfId="33" applyNumberFormat="1" applyFont="1" applyFill="1" applyBorder="1" applyAlignment="1">
      <alignment horizontal="right" vertical="center" shrinkToFit="1"/>
    </xf>
    <xf numFmtId="3" fontId="8" fillId="34" borderId="13" xfId="33" applyNumberFormat="1" applyFont="1" applyFill="1" applyBorder="1" applyAlignment="1">
      <alignment horizontal="center" vertical="center" shrinkToFit="1"/>
    </xf>
    <xf numFmtId="0" fontId="8" fillId="34" borderId="11" xfId="0" applyFont="1" applyFill="1" applyBorder="1" applyAlignment="1">
      <alignment vertical="center" shrinkToFit="1"/>
    </xf>
    <xf numFmtId="49" fontId="8" fillId="34" borderId="11" xfId="0" applyNumberFormat="1" applyFont="1" applyFill="1" applyBorder="1" applyAlignment="1">
      <alignment horizontal="center" vertical="center" shrinkToFit="1"/>
    </xf>
    <xf numFmtId="190" fontId="8" fillId="34" borderId="11" xfId="0" applyNumberFormat="1" applyFont="1" applyFill="1" applyBorder="1" applyAlignment="1">
      <alignment horizontal="left" vertical="center" shrinkToFit="1"/>
    </xf>
    <xf numFmtId="188" fontId="8" fillId="34" borderId="11" xfId="0" applyNumberFormat="1" applyFont="1" applyFill="1" applyBorder="1" applyAlignment="1">
      <alignment horizontal="center" vertical="center" shrinkToFit="1"/>
    </xf>
    <xf numFmtId="0" fontId="8" fillId="34" borderId="11" xfId="0" applyNumberFormat="1" applyFont="1" applyFill="1" applyBorder="1" applyAlignment="1">
      <alignment horizontal="right" vertical="center"/>
    </xf>
    <xf numFmtId="0" fontId="11" fillId="34" borderId="11" xfId="0" applyNumberFormat="1" applyFont="1" applyFill="1" applyBorder="1" applyAlignment="1">
      <alignment horizontal="right" vertical="center"/>
    </xf>
    <xf numFmtId="49" fontId="11" fillId="34" borderId="12" xfId="0" applyNumberFormat="1" applyFont="1" applyFill="1" applyBorder="1" applyAlignment="1">
      <alignment horizontal="center" vertical="center" shrinkToFit="1"/>
    </xf>
    <xf numFmtId="3" fontId="13" fillId="33" borderId="0" xfId="33" applyNumberFormat="1" applyFont="1" applyFill="1" applyBorder="1" applyAlignment="1">
      <alignment horizontal="center" vertical="center" shrinkToFit="1"/>
    </xf>
    <xf numFmtId="49" fontId="13" fillId="33" borderId="0" xfId="0" applyNumberFormat="1" applyFont="1" applyFill="1" applyBorder="1" applyAlignment="1">
      <alignment horizontal="center" vertical="center" shrinkToFit="1"/>
    </xf>
    <xf numFmtId="188" fontId="13" fillId="33" borderId="0" xfId="0" applyNumberFormat="1" applyFont="1" applyFill="1" applyBorder="1" applyAlignment="1">
      <alignment horizontal="center" vertical="center" shrinkToFit="1"/>
    </xf>
    <xf numFmtId="49" fontId="13" fillId="33" borderId="0" xfId="0" applyNumberFormat="1" applyFont="1" applyFill="1" applyBorder="1" applyAlignment="1">
      <alignment vertical="center" shrinkToFit="1"/>
    </xf>
    <xf numFmtId="49" fontId="12" fillId="33" borderId="0" xfId="0" applyNumberFormat="1" applyFont="1" applyFill="1" applyBorder="1" applyAlignment="1">
      <alignment vertical="center" shrinkToFit="1"/>
    </xf>
    <xf numFmtId="0" fontId="15" fillId="33" borderId="0" xfId="0" applyFont="1" applyFill="1" applyAlignment="1">
      <alignment vertical="center"/>
    </xf>
    <xf numFmtId="0" fontId="15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shrinkToFit="1"/>
    </xf>
    <xf numFmtId="49" fontId="12" fillId="33" borderId="0" xfId="0" applyNumberFormat="1" applyFont="1" applyFill="1" applyBorder="1" applyAlignment="1">
      <alignment horizontal="center" vertical="center" shrinkToFit="1"/>
    </xf>
    <xf numFmtId="0" fontId="13" fillId="33" borderId="13" xfId="0" applyFont="1" applyFill="1" applyBorder="1" applyAlignment="1">
      <alignment horizontal="left" vertical="center" shrinkToFit="1"/>
    </xf>
    <xf numFmtId="0" fontId="13" fillId="33" borderId="11" xfId="0" applyFont="1" applyFill="1" applyBorder="1" applyAlignment="1">
      <alignment horizontal="left" vertical="center" shrinkToFit="1"/>
    </xf>
    <xf numFmtId="0" fontId="13" fillId="33" borderId="12" xfId="0" applyFont="1" applyFill="1" applyBorder="1" applyAlignment="1">
      <alignment horizontal="left" vertical="center" shrinkToFit="1"/>
    </xf>
    <xf numFmtId="0" fontId="8" fillId="33" borderId="0" xfId="0" applyFont="1" applyFill="1" applyBorder="1" applyAlignment="1">
      <alignment horizontal="center" vertical="center" shrinkToFit="1"/>
    </xf>
    <xf numFmtId="3" fontId="13" fillId="33" borderId="0" xfId="33" applyNumberFormat="1" applyFont="1" applyFill="1" applyAlignment="1">
      <alignment horizontal="center" vertical="center" shrinkToFit="1"/>
    </xf>
    <xf numFmtId="49" fontId="12" fillId="33" borderId="0" xfId="0" applyNumberFormat="1" applyFont="1" applyFill="1" applyAlignment="1">
      <alignment vertical="center" shrinkToFit="1"/>
    </xf>
    <xf numFmtId="49" fontId="12" fillId="33" borderId="0" xfId="0" applyNumberFormat="1" applyFont="1" applyFill="1" applyAlignment="1">
      <alignment horizontal="center" vertical="center" shrinkToFit="1"/>
    </xf>
    <xf numFmtId="0" fontId="78" fillId="33" borderId="0" xfId="0" applyFont="1" applyFill="1" applyAlignment="1">
      <alignment vertical="center" shrinkToFit="1"/>
    </xf>
    <xf numFmtId="0" fontId="79" fillId="33" borderId="10" xfId="0" applyNumberFormat="1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 shrinkToFit="1"/>
    </xf>
    <xf numFmtId="0" fontId="80" fillId="33" borderId="23" xfId="0" applyFont="1" applyFill="1" applyBorder="1" applyAlignment="1">
      <alignment horizontal="center" vertical="center" shrinkToFit="1"/>
    </xf>
    <xf numFmtId="0" fontId="79" fillId="34" borderId="11" xfId="0" applyFont="1" applyFill="1" applyBorder="1" applyAlignment="1">
      <alignment horizontal="center" vertical="center" shrinkToFit="1"/>
    </xf>
    <xf numFmtId="0" fontId="80" fillId="33" borderId="0" xfId="0" applyFont="1" applyFill="1" applyBorder="1" applyAlignment="1">
      <alignment horizontal="center" vertical="center" shrinkToFit="1"/>
    </xf>
    <xf numFmtId="0" fontId="79" fillId="33" borderId="0" xfId="0" applyFont="1" applyFill="1" applyBorder="1" applyAlignment="1">
      <alignment horizontal="center" vertical="center" shrinkToFit="1"/>
    </xf>
    <xf numFmtId="0" fontId="80" fillId="33" borderId="0" xfId="0" applyFont="1" applyFill="1" applyAlignment="1">
      <alignment horizontal="center" vertical="center" shrinkToFit="1"/>
    </xf>
    <xf numFmtId="14" fontId="81" fillId="33" borderId="0" xfId="0" applyNumberFormat="1" applyFont="1" applyFill="1" applyBorder="1" applyAlignment="1">
      <alignment horizontal="center" vertical="center" shrinkToFit="1"/>
    </xf>
    <xf numFmtId="14" fontId="81" fillId="33" borderId="0" xfId="0" applyNumberFormat="1" applyFont="1" applyFill="1" applyBorder="1" applyAlignment="1">
      <alignment horizontal="left" vertical="center"/>
    </xf>
    <xf numFmtId="0" fontId="80" fillId="33" borderId="0" xfId="0" applyFont="1" applyFill="1" applyAlignment="1">
      <alignment vertical="center" shrinkToFit="1"/>
    </xf>
    <xf numFmtId="3" fontId="82" fillId="33" borderId="0" xfId="0" applyNumberFormat="1" applyFont="1" applyFill="1" applyBorder="1" applyAlignment="1">
      <alignment horizontal="center" vertical="center" shrinkToFit="1"/>
    </xf>
    <xf numFmtId="43" fontId="81" fillId="33" borderId="0" xfId="33" applyFont="1" applyFill="1" applyBorder="1" applyAlignment="1">
      <alignment vertical="center" shrinkToFit="1"/>
    </xf>
    <xf numFmtId="0" fontId="79" fillId="33" borderId="0" xfId="0" applyFont="1" applyFill="1" applyAlignment="1">
      <alignment horizontal="right" vertical="center"/>
    </xf>
    <xf numFmtId="49" fontId="80" fillId="33" borderId="0" xfId="0" applyNumberFormat="1" applyFont="1" applyFill="1" applyAlignment="1">
      <alignment horizontal="center" vertical="center" shrinkToFit="1"/>
    </xf>
    <xf numFmtId="187" fontId="80" fillId="33" borderId="0" xfId="0" applyNumberFormat="1" applyFont="1" applyFill="1" applyAlignment="1">
      <alignment horizontal="center" vertical="center" shrinkToFit="1"/>
    </xf>
    <xf numFmtId="0" fontId="83" fillId="33" borderId="0" xfId="0" applyFont="1" applyFill="1" applyBorder="1" applyAlignment="1">
      <alignment horizontal="left" vertical="center" indent="1"/>
    </xf>
    <xf numFmtId="0" fontId="83" fillId="33" borderId="0" xfId="0" applyFont="1" applyFill="1" applyBorder="1" applyAlignment="1">
      <alignment vertical="center"/>
    </xf>
    <xf numFmtId="188" fontId="83" fillId="33" borderId="0" xfId="0" applyNumberFormat="1" applyFont="1" applyFill="1" applyBorder="1" applyAlignment="1">
      <alignment horizontal="center" vertical="center"/>
    </xf>
    <xf numFmtId="0" fontId="83" fillId="33" borderId="0" xfId="0" applyFont="1" applyFill="1" applyBorder="1" applyAlignment="1">
      <alignment horizontal="left" vertical="center" indent="2"/>
    </xf>
    <xf numFmtId="0" fontId="80" fillId="33" borderId="12" xfId="0" applyFont="1" applyFill="1" applyBorder="1" applyAlignment="1">
      <alignment horizontal="center" vertical="center" shrinkToFit="1"/>
    </xf>
    <xf numFmtId="0" fontId="80" fillId="33" borderId="11" xfId="0" applyFont="1" applyFill="1" applyBorder="1" applyAlignment="1">
      <alignment horizontal="center" vertical="center" shrinkToFit="1"/>
    </xf>
    <xf numFmtId="0" fontId="79" fillId="33" borderId="10" xfId="0" applyFont="1" applyFill="1" applyBorder="1" applyAlignment="1">
      <alignment horizontal="center" vertical="center" shrinkToFit="1"/>
    </xf>
    <xf numFmtId="0" fontId="80" fillId="33" borderId="25" xfId="0" applyNumberFormat="1" applyFont="1" applyFill="1" applyBorder="1" applyAlignment="1">
      <alignment horizontal="center" vertical="center" shrinkToFit="1"/>
    </xf>
    <xf numFmtId="0" fontId="79" fillId="33" borderId="10" xfId="0" applyNumberFormat="1" applyFont="1" applyFill="1" applyBorder="1" applyAlignment="1">
      <alignment horizontal="center" vertical="center" shrinkToFit="1"/>
    </xf>
    <xf numFmtId="3" fontId="80" fillId="33" borderId="0" xfId="0" applyNumberFormat="1" applyFont="1" applyFill="1" applyAlignment="1">
      <alignment vertical="center" shrinkToFit="1"/>
    </xf>
    <xf numFmtId="0" fontId="80" fillId="33" borderId="26" xfId="0" applyNumberFormat="1" applyFont="1" applyFill="1" applyBorder="1" applyAlignment="1">
      <alignment horizontal="center" vertical="center" shrinkToFit="1"/>
    </xf>
    <xf numFmtId="0" fontId="80" fillId="33" borderId="14" xfId="0" applyFont="1" applyFill="1" applyBorder="1" applyAlignment="1">
      <alignment horizontal="center" vertical="center" shrinkToFit="1"/>
    </xf>
    <xf numFmtId="0" fontId="80" fillId="33" borderId="0" xfId="0" applyFont="1" applyFill="1" applyBorder="1" applyAlignment="1">
      <alignment vertical="center" shrinkToFit="1"/>
    </xf>
    <xf numFmtId="187" fontId="80" fillId="33" borderId="0" xfId="0" applyNumberFormat="1" applyFont="1" applyFill="1" applyBorder="1" applyAlignment="1">
      <alignment horizontal="center" vertical="center" shrinkToFit="1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49" fontId="13" fillId="0" borderId="11" xfId="0" applyNumberFormat="1" applyFont="1" applyBorder="1" applyAlignment="1">
      <alignment vertical="center"/>
    </xf>
    <xf numFmtId="49" fontId="13" fillId="0" borderId="12" xfId="0" applyNumberFormat="1" applyFont="1" applyBorder="1" applyAlignment="1">
      <alignment vertical="center"/>
    </xf>
    <xf numFmtId="214" fontId="81" fillId="33" borderId="10" xfId="33" applyNumberFormat="1" applyFont="1" applyFill="1" applyBorder="1" applyAlignment="1">
      <alignment horizontal="right" vertical="center" shrinkToFit="1"/>
    </xf>
    <xf numFmtId="3" fontId="8" fillId="35" borderId="0" xfId="33" applyNumberFormat="1" applyFont="1" applyFill="1" applyBorder="1" applyAlignment="1">
      <alignment horizontal="center" vertical="center" shrinkToFit="1"/>
    </xf>
    <xf numFmtId="0" fontId="8" fillId="35" borderId="0" xfId="0" applyFont="1" applyFill="1" applyBorder="1" applyAlignment="1">
      <alignment vertical="center" shrinkToFit="1"/>
    </xf>
    <xf numFmtId="49" fontId="8" fillId="35" borderId="0" xfId="0" applyNumberFormat="1" applyFont="1" applyFill="1" applyBorder="1" applyAlignment="1">
      <alignment horizontal="center" vertical="center" shrinkToFit="1"/>
    </xf>
    <xf numFmtId="190" fontId="8" fillId="35" borderId="0" xfId="0" applyNumberFormat="1" applyFont="1" applyFill="1" applyBorder="1" applyAlignment="1">
      <alignment horizontal="left" vertical="center" shrinkToFit="1"/>
    </xf>
    <xf numFmtId="188" fontId="8" fillId="35" borderId="0" xfId="0" applyNumberFormat="1" applyFont="1" applyFill="1" applyBorder="1" applyAlignment="1">
      <alignment horizontal="center" vertical="center" shrinkToFit="1"/>
    </xf>
    <xf numFmtId="0" fontId="79" fillId="35" borderId="0" xfId="0" applyFont="1" applyFill="1" applyBorder="1" applyAlignment="1">
      <alignment horizontal="center" vertical="center" shrinkToFit="1"/>
    </xf>
    <xf numFmtId="49" fontId="11" fillId="35" borderId="0" xfId="0" applyNumberFormat="1" applyFont="1" applyFill="1" applyBorder="1" applyAlignment="1">
      <alignment horizontal="center" vertical="center" shrinkToFit="1"/>
    </xf>
    <xf numFmtId="214" fontId="80" fillId="33" borderId="0" xfId="0" applyNumberFormat="1" applyFont="1" applyFill="1" applyAlignment="1">
      <alignment vertical="center" shrinkToFit="1"/>
    </xf>
    <xf numFmtId="214" fontId="82" fillId="33" borderId="10" xfId="33" applyNumberFormat="1" applyFont="1" applyFill="1" applyBorder="1" applyAlignment="1">
      <alignment horizontal="right" vertical="center" shrinkToFit="1"/>
    </xf>
    <xf numFmtId="224" fontId="82" fillId="33" borderId="10" xfId="0" applyNumberFormat="1" applyFont="1" applyFill="1" applyBorder="1" applyAlignment="1">
      <alignment horizontal="center" vertical="center" shrinkToFit="1"/>
    </xf>
    <xf numFmtId="0" fontId="80" fillId="33" borderId="13" xfId="0" applyFont="1" applyFill="1" applyBorder="1" applyAlignment="1">
      <alignment vertical="center" shrinkToFit="1"/>
    </xf>
    <xf numFmtId="0" fontId="80" fillId="33" borderId="11" xfId="0" applyFont="1" applyFill="1" applyBorder="1" applyAlignment="1">
      <alignment vertical="center" shrinkToFit="1"/>
    </xf>
    <xf numFmtId="0" fontId="80" fillId="33" borderId="12" xfId="0" applyFont="1" applyFill="1" applyBorder="1" applyAlignment="1">
      <alignment vertical="center" shrinkToFit="1"/>
    </xf>
    <xf numFmtId="49" fontId="80" fillId="33" borderId="13" xfId="0" applyNumberFormat="1" applyFont="1" applyFill="1" applyBorder="1" applyAlignment="1">
      <alignment horizontal="center" vertical="center" shrinkToFit="1"/>
    </xf>
    <xf numFmtId="190" fontId="80" fillId="33" borderId="12" xfId="0" applyNumberFormat="1" applyFont="1" applyFill="1" applyBorder="1" applyAlignment="1">
      <alignment horizontal="left" vertical="center" shrinkToFit="1"/>
    </xf>
    <xf numFmtId="188" fontId="80" fillId="33" borderId="10" xfId="0" applyNumberFormat="1" applyFont="1" applyFill="1" applyBorder="1" applyAlignment="1">
      <alignment horizontal="center" vertical="center" shrinkToFit="1"/>
    </xf>
    <xf numFmtId="187" fontId="80" fillId="33" borderId="10" xfId="0" applyNumberFormat="1" applyFont="1" applyFill="1" applyBorder="1" applyAlignment="1">
      <alignment horizontal="center" vertical="center" shrinkToFit="1"/>
    </xf>
    <xf numFmtId="214" fontId="80" fillId="33" borderId="10" xfId="33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vertical="center" shrinkToFit="1"/>
    </xf>
    <xf numFmtId="49" fontId="8" fillId="0" borderId="0" xfId="0" applyNumberFormat="1" applyFont="1" applyFill="1" applyBorder="1" applyAlignment="1">
      <alignment horizontal="center" vertical="center" shrinkToFit="1"/>
    </xf>
    <xf numFmtId="190" fontId="8" fillId="0" borderId="0" xfId="0" applyNumberFormat="1" applyFont="1" applyFill="1" applyBorder="1" applyAlignment="1">
      <alignment horizontal="left" vertical="center" shrinkToFit="1"/>
    </xf>
    <xf numFmtId="188" fontId="8" fillId="0" borderId="0" xfId="0" applyNumberFormat="1" applyFont="1" applyFill="1" applyBorder="1" applyAlignment="1">
      <alignment horizontal="center" vertical="center" shrinkToFit="1"/>
    </xf>
    <xf numFmtId="187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79" fillId="0" borderId="0" xfId="0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80" fillId="0" borderId="11" xfId="0" applyNumberFormat="1" applyFont="1" applyBorder="1" applyAlignment="1">
      <alignment vertical="center"/>
    </xf>
    <xf numFmtId="49" fontId="80" fillId="0" borderId="12" xfId="0" applyNumberFormat="1" applyFont="1" applyBorder="1" applyAlignment="1">
      <alignment vertical="center"/>
    </xf>
    <xf numFmtId="190" fontId="13" fillId="33" borderId="12" xfId="0" applyNumberFormat="1" applyFont="1" applyFill="1" applyBorder="1" applyAlignment="1">
      <alignment horizontal="center" vertical="center" shrinkToFit="1"/>
    </xf>
    <xf numFmtId="224" fontId="12" fillId="33" borderId="0" xfId="0" applyNumberFormat="1" applyFont="1" applyFill="1" applyBorder="1" applyAlignment="1">
      <alignment horizontal="center" vertical="center" shrinkToFit="1"/>
    </xf>
    <xf numFmtId="3" fontId="8" fillId="34" borderId="0" xfId="33" applyNumberFormat="1" applyFont="1" applyFill="1" applyBorder="1" applyAlignment="1">
      <alignment horizontal="center" vertical="center" shrinkToFit="1"/>
    </xf>
    <xf numFmtId="49" fontId="13" fillId="33" borderId="0" xfId="0" applyNumberFormat="1" applyFont="1" applyFill="1" applyBorder="1" applyAlignment="1">
      <alignment horizontal="left" vertical="center" shrinkToFit="1"/>
    </xf>
    <xf numFmtId="0" fontId="80" fillId="33" borderId="18" xfId="0" applyFont="1" applyFill="1" applyBorder="1" applyAlignment="1">
      <alignment horizontal="center" vertical="center" shrinkToFit="1"/>
    </xf>
    <xf numFmtId="214" fontId="12" fillId="33" borderId="13" xfId="33" applyNumberFormat="1" applyFont="1" applyFill="1" applyBorder="1" applyAlignment="1">
      <alignment horizontal="right" vertical="center" shrinkToFit="1"/>
    </xf>
    <xf numFmtId="3" fontId="11" fillId="34" borderId="16" xfId="33" applyNumberFormat="1" applyFont="1" applyFill="1" applyBorder="1" applyAlignment="1">
      <alignment horizontal="right" vertical="center" shrinkToFit="1"/>
    </xf>
    <xf numFmtId="224" fontId="82" fillId="33" borderId="0" xfId="0" applyNumberFormat="1" applyFont="1" applyFill="1" applyBorder="1" applyAlignment="1">
      <alignment horizontal="center" vertical="center" shrinkToFit="1"/>
    </xf>
    <xf numFmtId="224" fontId="82" fillId="0" borderId="0" xfId="0" applyNumberFormat="1" applyFont="1" applyFill="1" applyBorder="1" applyAlignment="1">
      <alignment horizontal="center" vertical="center" shrinkToFit="1"/>
    </xf>
    <xf numFmtId="49" fontId="12" fillId="0" borderId="0" xfId="0" applyNumberFormat="1" applyFont="1" applyFill="1" applyBorder="1" applyAlignment="1">
      <alignment horizontal="center" vertical="center" shrinkToFit="1"/>
    </xf>
    <xf numFmtId="0" fontId="80" fillId="33" borderId="17" xfId="0" applyFont="1" applyFill="1" applyBorder="1" applyAlignment="1">
      <alignment horizontal="center" vertical="center" shrinkToFit="1"/>
    </xf>
    <xf numFmtId="0" fontId="80" fillId="33" borderId="25" xfId="0" applyFont="1" applyFill="1" applyBorder="1" applyAlignment="1">
      <alignment horizontal="center" vertical="center" shrinkToFit="1"/>
    </xf>
    <xf numFmtId="0" fontId="80" fillId="33" borderId="27" xfId="0" applyFont="1" applyFill="1" applyBorder="1" applyAlignment="1">
      <alignment horizontal="center" vertical="center" shrinkToFit="1"/>
    </xf>
    <xf numFmtId="3" fontId="4" fillId="33" borderId="0" xfId="0" applyNumberFormat="1" applyFont="1" applyFill="1" applyAlignment="1">
      <alignment vertical="center" shrinkToFit="1"/>
    </xf>
    <xf numFmtId="0" fontId="80" fillId="33" borderId="28" xfId="0" applyFont="1" applyFill="1" applyBorder="1" applyAlignment="1">
      <alignment horizontal="center" vertical="center" shrinkToFit="1"/>
    </xf>
    <xf numFmtId="0" fontId="80" fillId="33" borderId="29" xfId="0" applyFont="1" applyFill="1" applyBorder="1" applyAlignment="1">
      <alignment horizontal="center" vertical="center" shrinkToFit="1"/>
    </xf>
    <xf numFmtId="0" fontId="80" fillId="33" borderId="0" xfId="0" applyNumberFormat="1" applyFont="1" applyFill="1" applyBorder="1" applyAlignment="1">
      <alignment horizontal="center" vertical="center" shrinkToFit="1"/>
    </xf>
    <xf numFmtId="0" fontId="80" fillId="33" borderId="20" xfId="0" applyFont="1" applyFill="1" applyBorder="1" applyAlignment="1">
      <alignment horizontal="center" vertical="center" shrinkToFit="1"/>
    </xf>
    <xf numFmtId="0" fontId="80" fillId="33" borderId="22" xfId="0" applyFont="1" applyFill="1" applyBorder="1" applyAlignment="1">
      <alignment horizontal="center" vertical="center" shrinkToFit="1"/>
    </xf>
    <xf numFmtId="0" fontId="79" fillId="33" borderId="0" xfId="0" applyNumberFormat="1" applyFont="1" applyFill="1" applyBorder="1" applyAlignment="1">
      <alignment horizontal="center" vertical="center" shrinkToFit="1"/>
    </xf>
    <xf numFmtId="3" fontId="80" fillId="33" borderId="0" xfId="0" applyNumberFormat="1" applyFont="1" applyFill="1" applyBorder="1" applyAlignment="1">
      <alignment vertical="center" shrinkToFit="1"/>
    </xf>
    <xf numFmtId="0" fontId="13" fillId="33" borderId="10" xfId="0" applyFont="1" applyFill="1" applyBorder="1" applyAlignment="1">
      <alignment vertical="center" shrinkToFit="1"/>
    </xf>
    <xf numFmtId="0" fontId="8" fillId="34" borderId="0" xfId="0" applyFont="1" applyFill="1" applyBorder="1" applyAlignment="1">
      <alignment vertical="center" shrinkToFit="1"/>
    </xf>
    <xf numFmtId="49" fontId="8" fillId="34" borderId="0" xfId="0" applyNumberFormat="1" applyFont="1" applyFill="1" applyBorder="1" applyAlignment="1">
      <alignment horizontal="center" vertical="center" shrinkToFit="1"/>
    </xf>
    <xf numFmtId="190" fontId="8" fillId="34" borderId="0" xfId="0" applyNumberFormat="1" applyFont="1" applyFill="1" applyBorder="1" applyAlignment="1">
      <alignment horizontal="left" vertical="center" shrinkToFit="1"/>
    </xf>
    <xf numFmtId="188" fontId="8" fillId="34" borderId="0" xfId="0" applyNumberFormat="1" applyFont="1" applyFill="1" applyBorder="1" applyAlignment="1">
      <alignment horizontal="center" vertical="center" shrinkToFit="1"/>
    </xf>
    <xf numFmtId="187" fontId="8" fillId="34" borderId="0" xfId="0" applyNumberFormat="1" applyFont="1" applyFill="1" applyBorder="1" applyAlignment="1">
      <alignment horizontal="center" vertical="center" shrinkToFit="1"/>
    </xf>
    <xf numFmtId="0" fontId="8" fillId="34" borderId="0" xfId="0" applyFont="1" applyFill="1" applyBorder="1" applyAlignment="1">
      <alignment horizontal="center" vertical="center" shrinkToFit="1"/>
    </xf>
    <xf numFmtId="0" fontId="79" fillId="34" borderId="0" xfId="0" applyFont="1" applyFill="1" applyBorder="1" applyAlignment="1">
      <alignment horizontal="center" vertical="center" shrinkToFit="1"/>
    </xf>
    <xf numFmtId="0" fontId="8" fillId="34" borderId="0" xfId="0" applyNumberFormat="1" applyFont="1" applyFill="1" applyBorder="1" applyAlignment="1">
      <alignment horizontal="right" vertical="center"/>
    </xf>
    <xf numFmtId="0" fontId="11" fillId="34" borderId="0" xfId="0" applyNumberFormat="1" applyFont="1" applyFill="1" applyBorder="1" applyAlignment="1">
      <alignment horizontal="right" vertical="center"/>
    </xf>
    <xf numFmtId="49" fontId="11" fillId="34" borderId="0" xfId="0" applyNumberFormat="1" applyFont="1" applyFill="1" applyBorder="1" applyAlignment="1">
      <alignment horizontal="center" vertical="center" shrinkToFit="1"/>
    </xf>
    <xf numFmtId="3" fontId="8" fillId="33" borderId="0" xfId="33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horizontal="center" vertical="center" wrapText="1"/>
    </xf>
    <xf numFmtId="0" fontId="79" fillId="33" borderId="0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49" fontId="11" fillId="33" borderId="0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center" wrapText="1"/>
    </xf>
    <xf numFmtId="3" fontId="8" fillId="34" borderId="0" xfId="33" applyNumberFormat="1" applyFont="1" applyFill="1" applyBorder="1" applyAlignment="1">
      <alignment horizontal="right" vertical="center"/>
    </xf>
    <xf numFmtId="3" fontId="8" fillId="34" borderId="0" xfId="33" applyNumberFormat="1" applyFont="1" applyFill="1" applyBorder="1" applyAlignment="1">
      <alignment horizontal="right" vertical="center" shrinkToFit="1"/>
    </xf>
    <xf numFmtId="3" fontId="11" fillId="34" borderId="0" xfId="33" applyNumberFormat="1" applyFont="1" applyFill="1" applyBorder="1" applyAlignment="1">
      <alignment horizontal="right" vertical="center" shrinkToFit="1"/>
    </xf>
    <xf numFmtId="214" fontId="12" fillId="33" borderId="19" xfId="33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horizontal="center" vertical="center" shrinkToFit="1"/>
    </xf>
    <xf numFmtId="49" fontId="12" fillId="33" borderId="10" xfId="0" applyNumberFormat="1" applyFont="1" applyFill="1" applyBorder="1" applyAlignment="1">
      <alignment vertical="center" shrinkToFit="1"/>
    </xf>
    <xf numFmtId="0" fontId="84" fillId="33" borderId="13" xfId="0" applyFont="1" applyFill="1" applyBorder="1" applyAlignment="1">
      <alignment vertical="center" shrinkToFit="1"/>
    </xf>
    <xf numFmtId="0" fontId="84" fillId="0" borderId="11" xfId="0" applyFont="1" applyBorder="1" applyAlignment="1">
      <alignment vertical="center"/>
    </xf>
    <xf numFmtId="0" fontId="84" fillId="0" borderId="12" xfId="0" applyFont="1" applyBorder="1" applyAlignment="1">
      <alignment vertical="center"/>
    </xf>
    <xf numFmtId="49" fontId="84" fillId="33" borderId="13" xfId="0" applyNumberFormat="1" applyFont="1" applyFill="1" applyBorder="1" applyAlignment="1">
      <alignment horizontal="center" vertical="center" shrinkToFit="1"/>
    </xf>
    <xf numFmtId="190" fontId="84" fillId="33" borderId="12" xfId="0" applyNumberFormat="1" applyFont="1" applyFill="1" applyBorder="1" applyAlignment="1">
      <alignment horizontal="left" vertical="center" shrinkToFit="1"/>
    </xf>
    <xf numFmtId="188" fontId="84" fillId="33" borderId="10" xfId="0" applyNumberFormat="1" applyFont="1" applyFill="1" applyBorder="1" applyAlignment="1">
      <alignment horizontal="center" vertical="center" shrinkToFit="1"/>
    </xf>
    <xf numFmtId="187" fontId="84" fillId="33" borderId="10" xfId="0" applyNumberFormat="1" applyFont="1" applyFill="1" applyBorder="1" applyAlignment="1">
      <alignment horizontal="center" vertical="center" shrinkToFit="1"/>
    </xf>
    <xf numFmtId="49" fontId="84" fillId="0" borderId="11" xfId="0" applyNumberFormat="1" applyFont="1" applyBorder="1" applyAlignment="1">
      <alignment vertical="center"/>
    </xf>
    <xf numFmtId="49" fontId="84" fillId="0" borderId="12" xfId="0" applyNumberFormat="1" applyFont="1" applyBorder="1" applyAlignment="1">
      <alignment vertical="center"/>
    </xf>
    <xf numFmtId="0" fontId="84" fillId="33" borderId="11" xfId="0" applyFont="1" applyFill="1" applyBorder="1" applyAlignment="1">
      <alignment vertical="center" shrinkToFit="1"/>
    </xf>
    <xf numFmtId="0" fontId="84" fillId="33" borderId="12" xfId="0" applyFont="1" applyFill="1" applyBorder="1" applyAlignment="1">
      <alignment vertical="center" shrinkToFit="1"/>
    </xf>
    <xf numFmtId="190" fontId="84" fillId="33" borderId="12" xfId="0" applyNumberFormat="1" applyFont="1" applyFill="1" applyBorder="1" applyAlignment="1">
      <alignment horizontal="center" vertical="center" shrinkToFit="1"/>
    </xf>
    <xf numFmtId="3" fontId="13" fillId="0" borderId="0" xfId="33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 shrinkToFit="1"/>
    </xf>
    <xf numFmtId="49" fontId="13" fillId="0" borderId="0" xfId="0" applyNumberFormat="1" applyFont="1" applyFill="1" applyBorder="1" applyAlignment="1">
      <alignment horizontal="center" vertical="center" shrinkToFit="1"/>
    </xf>
    <xf numFmtId="49" fontId="13" fillId="0" borderId="0" xfId="0" applyNumberFormat="1" applyFont="1" applyFill="1" applyBorder="1" applyAlignment="1">
      <alignment horizontal="left" vertical="center" shrinkToFit="1"/>
    </xf>
    <xf numFmtId="188" fontId="13" fillId="0" borderId="0" xfId="0" applyNumberFormat="1" applyFont="1" applyFill="1" applyBorder="1" applyAlignment="1">
      <alignment horizontal="center" vertical="center" shrinkToFit="1"/>
    </xf>
    <xf numFmtId="187" fontId="13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80" fillId="0" borderId="0" xfId="0" applyFont="1" applyFill="1" applyBorder="1" applyAlignment="1">
      <alignment horizontal="center" vertical="center" shrinkToFit="1"/>
    </xf>
    <xf numFmtId="49" fontId="13" fillId="0" borderId="0" xfId="0" applyNumberFormat="1" applyFont="1" applyFill="1" applyBorder="1" applyAlignment="1">
      <alignment vertical="center" shrinkToFit="1"/>
    </xf>
    <xf numFmtId="49" fontId="12" fillId="0" borderId="0" xfId="0" applyNumberFormat="1" applyFont="1" applyFill="1" applyBorder="1" applyAlignment="1">
      <alignment vertical="center" shrinkToFit="1"/>
    </xf>
    <xf numFmtId="3" fontId="8" fillId="0" borderId="0" xfId="33" applyNumberFormat="1" applyFont="1" applyFill="1" applyBorder="1" applyAlignment="1">
      <alignment horizontal="right" vertical="center"/>
    </xf>
    <xf numFmtId="3" fontId="8" fillId="0" borderId="0" xfId="33" applyNumberFormat="1" applyFont="1" applyFill="1" applyBorder="1" applyAlignment="1">
      <alignment horizontal="right" vertical="center" shrinkToFit="1"/>
    </xf>
    <xf numFmtId="3" fontId="11" fillId="0" borderId="0" xfId="33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7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vertical="center" shrinkToFit="1"/>
    </xf>
    <xf numFmtId="0" fontId="80" fillId="33" borderId="10" xfId="0" applyNumberFormat="1" applyFont="1" applyFill="1" applyBorder="1" applyAlignment="1">
      <alignment horizontal="center" vertical="center" shrinkToFit="1"/>
    </xf>
    <xf numFmtId="0" fontId="85" fillId="33" borderId="10" xfId="0" applyNumberFormat="1" applyFont="1" applyFill="1" applyBorder="1" applyAlignment="1">
      <alignment horizontal="center" vertical="center" shrinkToFit="1"/>
    </xf>
    <xf numFmtId="188" fontId="13" fillId="0" borderId="10" xfId="0" applyNumberFormat="1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vertical="center" shrinkToFit="1"/>
    </xf>
    <xf numFmtId="0" fontId="13" fillId="0" borderId="11" xfId="0" applyFont="1" applyFill="1" applyBorder="1" applyAlignment="1">
      <alignment vertical="center" shrinkToFit="1"/>
    </xf>
    <xf numFmtId="0" fontId="13" fillId="0" borderId="12" xfId="0" applyFont="1" applyFill="1" applyBorder="1" applyAlignment="1">
      <alignment vertical="center" shrinkToFit="1"/>
    </xf>
    <xf numFmtId="190" fontId="13" fillId="0" borderId="12" xfId="0" applyNumberFormat="1" applyFont="1" applyFill="1" applyBorder="1" applyAlignment="1">
      <alignment horizontal="left" vertical="center" shrinkToFit="1"/>
    </xf>
    <xf numFmtId="0" fontId="80" fillId="0" borderId="10" xfId="0" applyFont="1" applyFill="1" applyBorder="1" applyAlignment="1">
      <alignment horizontal="center" vertical="center" shrinkToFit="1"/>
    </xf>
    <xf numFmtId="49" fontId="19" fillId="36" borderId="10" xfId="0" applyNumberFormat="1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vertical="center" shrinkToFit="1"/>
    </xf>
    <xf numFmtId="224" fontId="18" fillId="36" borderId="12" xfId="33" applyNumberFormat="1" applyFont="1" applyFill="1" applyBorder="1" applyAlignment="1">
      <alignment horizontal="right" vertical="center" shrinkToFit="1"/>
    </xf>
    <xf numFmtId="224" fontId="18" fillId="36" borderId="10" xfId="33" applyNumberFormat="1" applyFont="1" applyFill="1" applyBorder="1" applyAlignment="1">
      <alignment horizontal="right" vertical="center" shrinkToFit="1"/>
    </xf>
    <xf numFmtId="224" fontId="18" fillId="36" borderId="10" xfId="0" applyNumberFormat="1" applyFont="1" applyFill="1" applyBorder="1" applyAlignment="1">
      <alignment vertical="center" shrinkToFit="1"/>
    </xf>
    <xf numFmtId="224" fontId="18" fillId="36" borderId="10" xfId="0" applyNumberFormat="1" applyFont="1" applyFill="1" applyBorder="1" applyAlignment="1">
      <alignment horizontal="center" vertical="center" shrinkToFit="1"/>
    </xf>
    <xf numFmtId="224" fontId="18" fillId="36" borderId="12" xfId="0" applyNumberFormat="1" applyFont="1" applyFill="1" applyBorder="1" applyAlignment="1">
      <alignment horizontal="center" vertical="center" shrinkToFit="1"/>
    </xf>
    <xf numFmtId="224" fontId="18" fillId="36" borderId="12" xfId="0" applyNumberFormat="1" applyFont="1" applyFill="1" applyBorder="1" applyAlignment="1">
      <alignment vertical="center" shrinkToFit="1"/>
    </xf>
    <xf numFmtId="224" fontId="86" fillId="36" borderId="10" xfId="0" applyNumberFormat="1" applyFont="1" applyFill="1" applyBorder="1" applyAlignment="1">
      <alignment horizontal="center" vertical="center" shrinkToFit="1"/>
    </xf>
    <xf numFmtId="224" fontId="87" fillId="36" borderId="10" xfId="0" applyNumberFormat="1" applyFont="1" applyFill="1" applyBorder="1" applyAlignment="1">
      <alignment horizontal="center" vertical="center" shrinkToFit="1"/>
    </xf>
    <xf numFmtId="0" fontId="13" fillId="37" borderId="13" xfId="0" applyFont="1" applyFill="1" applyBorder="1" applyAlignment="1">
      <alignment vertical="center" shrinkToFit="1"/>
    </xf>
    <xf numFmtId="49" fontId="13" fillId="37" borderId="13" xfId="0" applyNumberFormat="1" applyFont="1" applyFill="1" applyBorder="1" applyAlignment="1">
      <alignment horizontal="center" vertical="center" shrinkToFit="1"/>
    </xf>
    <xf numFmtId="190" fontId="13" fillId="37" borderId="12" xfId="0" applyNumberFormat="1" applyFont="1" applyFill="1" applyBorder="1" applyAlignment="1">
      <alignment horizontal="left" vertical="center" shrinkToFit="1"/>
    </xf>
    <xf numFmtId="188" fontId="13" fillId="37" borderId="10" xfId="0" applyNumberFormat="1" applyFont="1" applyFill="1" applyBorder="1" applyAlignment="1">
      <alignment horizontal="center" vertical="center" shrinkToFit="1"/>
    </xf>
    <xf numFmtId="187" fontId="13" fillId="37" borderId="10" xfId="0" applyNumberFormat="1" applyFont="1" applyFill="1" applyBorder="1" applyAlignment="1">
      <alignment horizontal="center" vertical="center" shrinkToFit="1"/>
    </xf>
    <xf numFmtId="0" fontId="13" fillId="37" borderId="10" xfId="0" applyFont="1" applyFill="1" applyBorder="1" applyAlignment="1">
      <alignment horizontal="center" vertical="center" shrinkToFit="1"/>
    </xf>
    <xf numFmtId="0" fontId="80" fillId="37" borderId="10" xfId="0" applyFont="1" applyFill="1" applyBorder="1" applyAlignment="1">
      <alignment horizontal="center" vertical="center" shrinkToFit="1"/>
    </xf>
    <xf numFmtId="214" fontId="13" fillId="37" borderId="10" xfId="33" applyNumberFormat="1" applyFont="1" applyFill="1" applyBorder="1" applyAlignment="1">
      <alignment horizontal="right" vertical="center" shrinkToFit="1"/>
    </xf>
    <xf numFmtId="214" fontId="12" fillId="37" borderId="10" xfId="33" applyNumberFormat="1" applyFont="1" applyFill="1" applyBorder="1" applyAlignment="1">
      <alignment horizontal="right" vertical="center" shrinkToFit="1"/>
    </xf>
    <xf numFmtId="0" fontId="13" fillId="37" borderId="11" xfId="0" applyFont="1" applyFill="1" applyBorder="1" applyAlignment="1">
      <alignment vertical="center" shrinkToFit="1"/>
    </xf>
    <xf numFmtId="0" fontId="13" fillId="37" borderId="12" xfId="0" applyFont="1" applyFill="1" applyBorder="1" applyAlignment="1">
      <alignment vertical="center" shrinkToFit="1"/>
    </xf>
    <xf numFmtId="0" fontId="80" fillId="37" borderId="23" xfId="0" applyFont="1" applyFill="1" applyBorder="1" applyAlignment="1">
      <alignment horizontal="center" vertical="center" shrinkToFit="1"/>
    </xf>
    <xf numFmtId="214" fontId="12" fillId="37" borderId="12" xfId="33" applyNumberFormat="1" applyFont="1" applyFill="1" applyBorder="1" applyAlignment="1">
      <alignment horizontal="right" vertical="center" shrinkToFit="1"/>
    </xf>
    <xf numFmtId="49" fontId="12" fillId="37" borderId="0" xfId="0" applyNumberFormat="1" applyFont="1" applyFill="1" applyAlignment="1">
      <alignment vertical="center" shrinkToFit="1"/>
    </xf>
    <xf numFmtId="224" fontId="18" fillId="37" borderId="10" xfId="0" applyNumberFormat="1" applyFont="1" applyFill="1" applyBorder="1" applyAlignment="1">
      <alignment horizontal="center" vertical="center" shrinkToFit="1"/>
    </xf>
    <xf numFmtId="0" fontId="80" fillId="37" borderId="13" xfId="0" applyFont="1" applyFill="1" applyBorder="1" applyAlignment="1">
      <alignment vertical="center" shrinkToFit="1"/>
    </xf>
    <xf numFmtId="49" fontId="80" fillId="37" borderId="11" xfId="0" applyNumberFormat="1" applyFont="1" applyFill="1" applyBorder="1" applyAlignment="1">
      <alignment vertical="center"/>
    </xf>
    <xf numFmtId="49" fontId="80" fillId="37" borderId="12" xfId="0" applyNumberFormat="1" applyFont="1" applyFill="1" applyBorder="1" applyAlignment="1">
      <alignment vertical="center"/>
    </xf>
    <xf numFmtId="224" fontId="18" fillId="37" borderId="12" xfId="0" applyNumberFormat="1" applyFont="1" applyFill="1" applyBorder="1" applyAlignment="1">
      <alignment vertical="center" shrinkToFit="1"/>
    </xf>
    <xf numFmtId="0" fontId="88" fillId="33" borderId="0" xfId="0" applyFont="1" applyFill="1" applyBorder="1" applyAlignment="1">
      <alignment vertical="center" shrinkToFit="1"/>
    </xf>
    <xf numFmtId="214" fontId="82" fillId="33" borderId="12" xfId="33" applyNumberFormat="1" applyFont="1" applyFill="1" applyBorder="1" applyAlignment="1">
      <alignment horizontal="right" vertical="center" shrinkToFit="1"/>
    </xf>
    <xf numFmtId="49" fontId="5" fillId="33" borderId="0" xfId="0" applyNumberFormat="1" applyFont="1" applyFill="1" applyAlignment="1">
      <alignment horizontal="center" vertical="center" shrinkToFit="1"/>
    </xf>
    <xf numFmtId="0" fontId="13" fillId="36" borderId="10" xfId="0" applyFont="1" applyFill="1" applyBorder="1" applyAlignment="1">
      <alignment horizontal="center" vertical="center" shrinkToFit="1"/>
    </xf>
    <xf numFmtId="224" fontId="80" fillId="36" borderId="12" xfId="33" applyNumberFormat="1" applyFont="1" applyFill="1" applyBorder="1" applyAlignment="1">
      <alignment horizontal="center" vertical="center" shrinkToFit="1"/>
    </xf>
    <xf numFmtId="224" fontId="13" fillId="36" borderId="10" xfId="33" applyNumberFormat="1" applyFont="1" applyFill="1" applyBorder="1" applyAlignment="1">
      <alignment horizontal="center" vertical="center" shrinkToFit="1"/>
    </xf>
    <xf numFmtId="224" fontId="13" fillId="36" borderId="10" xfId="0" applyNumberFormat="1" applyFont="1" applyFill="1" applyBorder="1" applyAlignment="1">
      <alignment horizontal="center" vertical="center" shrinkToFit="1"/>
    </xf>
    <xf numFmtId="224" fontId="13" fillId="36" borderId="12" xfId="33" applyNumberFormat="1" applyFont="1" applyFill="1" applyBorder="1" applyAlignment="1">
      <alignment horizontal="center" vertical="center" shrinkToFit="1"/>
    </xf>
    <xf numFmtId="49" fontId="8" fillId="36" borderId="24" xfId="0" applyNumberFormat="1" applyFont="1" applyFill="1" applyBorder="1" applyAlignment="1">
      <alignment horizontal="center" vertical="center" shrinkToFit="1"/>
    </xf>
    <xf numFmtId="3" fontId="3" fillId="34" borderId="0" xfId="33" applyNumberFormat="1" applyFont="1" applyFill="1" applyBorder="1" applyAlignment="1">
      <alignment horizontal="right" vertical="center"/>
    </xf>
    <xf numFmtId="187" fontId="3" fillId="34" borderId="0" xfId="0" applyNumberFormat="1" applyFont="1" applyFill="1" applyBorder="1" applyAlignment="1">
      <alignment horizontal="center" vertical="center" shrinkToFit="1"/>
    </xf>
    <xf numFmtId="0" fontId="3" fillId="34" borderId="0" xfId="0" applyFont="1" applyFill="1" applyBorder="1" applyAlignment="1">
      <alignment horizontal="center" vertical="center" shrinkToFit="1"/>
    </xf>
    <xf numFmtId="0" fontId="89" fillId="34" borderId="0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/>
    </xf>
    <xf numFmtId="0" fontId="90" fillId="0" borderId="0" xfId="0" applyFont="1" applyBorder="1" applyAlignment="1">
      <alignment horizontal="center"/>
    </xf>
    <xf numFmtId="0" fontId="91" fillId="0" borderId="0" xfId="0" applyFont="1" applyBorder="1" applyAlignment="1">
      <alignment horizontal="center"/>
    </xf>
    <xf numFmtId="187" fontId="8" fillId="33" borderId="0" xfId="0" applyNumberFormat="1" applyFont="1" applyFill="1" applyAlignment="1">
      <alignment horizontal="center" vertical="center" shrinkToFit="1"/>
    </xf>
    <xf numFmtId="0" fontId="8" fillId="33" borderId="0" xfId="0" applyFont="1" applyFill="1" applyAlignment="1">
      <alignment horizontal="center" vertical="center" shrinkToFit="1"/>
    </xf>
    <xf numFmtId="49" fontId="13" fillId="36" borderId="0" xfId="0" applyNumberFormat="1" applyFont="1" applyFill="1" applyAlignment="1">
      <alignment vertical="center" shrinkToFit="1"/>
    </xf>
    <xf numFmtId="49" fontId="8" fillId="36" borderId="10" xfId="0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vertical="center" shrinkToFit="1"/>
    </xf>
    <xf numFmtId="224" fontId="13" fillId="36" borderId="12" xfId="33" applyNumberFormat="1" applyFont="1" applyFill="1" applyBorder="1" applyAlignment="1">
      <alignment horizontal="right" vertical="center" shrinkToFit="1"/>
    </xf>
    <xf numFmtId="224" fontId="13" fillId="36" borderId="10" xfId="33" applyNumberFormat="1" applyFont="1" applyFill="1" applyBorder="1" applyAlignment="1">
      <alignment horizontal="right" vertical="center" shrinkToFit="1"/>
    </xf>
    <xf numFmtId="224" fontId="13" fillId="36" borderId="10" xfId="0" applyNumberFormat="1" applyFont="1" applyFill="1" applyBorder="1" applyAlignment="1">
      <alignment vertical="center" shrinkToFit="1"/>
    </xf>
    <xf numFmtId="224" fontId="13" fillId="36" borderId="12" xfId="0" applyNumberFormat="1" applyFont="1" applyFill="1" applyBorder="1" applyAlignment="1">
      <alignment horizontal="center" vertical="center" shrinkToFit="1"/>
    </xf>
    <xf numFmtId="224" fontId="13" fillId="36" borderId="12" xfId="0" applyNumberFormat="1" applyFont="1" applyFill="1" applyBorder="1" applyAlignment="1">
      <alignment vertical="center" shrinkToFit="1"/>
    </xf>
    <xf numFmtId="224" fontId="84" fillId="36" borderId="10" xfId="0" applyNumberFormat="1" applyFont="1" applyFill="1" applyBorder="1" applyAlignment="1">
      <alignment horizontal="center" vertical="center" shrinkToFit="1"/>
    </xf>
    <xf numFmtId="224" fontId="80" fillId="36" borderId="10" xfId="0" applyNumberFormat="1" applyFont="1" applyFill="1" applyBorder="1" applyAlignment="1">
      <alignment horizontal="center" vertical="center" shrinkToFit="1"/>
    </xf>
    <xf numFmtId="49" fontId="13" fillId="36" borderId="10" xfId="0" applyNumberFormat="1" applyFont="1" applyFill="1" applyBorder="1" applyAlignment="1">
      <alignment horizontal="center" vertical="center" shrinkToFit="1"/>
    </xf>
    <xf numFmtId="224" fontId="79" fillId="36" borderId="10" xfId="0" applyNumberFormat="1" applyFont="1" applyFill="1" applyBorder="1" applyAlignment="1">
      <alignment horizontal="center" vertical="center" shrinkToFit="1"/>
    </xf>
    <xf numFmtId="224" fontId="80" fillId="37" borderId="10" xfId="0" applyNumberFormat="1" applyFont="1" applyFill="1" applyBorder="1" applyAlignment="1">
      <alignment horizontal="center" vertical="center" shrinkToFit="1"/>
    </xf>
    <xf numFmtId="49" fontId="8" fillId="36" borderId="12" xfId="0" applyNumberFormat="1" applyFont="1" applyFill="1" applyBorder="1" applyAlignment="1">
      <alignment horizontal="center" vertical="center" shrinkToFit="1"/>
    </xf>
    <xf numFmtId="49" fontId="13" fillId="36" borderId="0" xfId="0" applyNumberFormat="1" applyFont="1" applyFill="1" applyAlignment="1">
      <alignment horizontal="center" vertical="center" shrinkToFit="1"/>
    </xf>
    <xf numFmtId="49" fontId="8" fillId="33" borderId="0" xfId="0" applyNumberFormat="1" applyFont="1" applyFill="1" applyBorder="1" applyAlignment="1">
      <alignment horizontal="center" vertical="center" wrapText="1"/>
    </xf>
    <xf numFmtId="0" fontId="92" fillId="33" borderId="10" xfId="0" applyFont="1" applyFill="1" applyBorder="1" applyAlignment="1">
      <alignment horizontal="center" vertical="center" shrinkToFit="1"/>
    </xf>
    <xf numFmtId="0" fontId="17" fillId="33" borderId="10" xfId="0" applyFont="1" applyFill="1" applyBorder="1" applyAlignment="1">
      <alignment horizontal="center" vertical="center" shrinkToFit="1"/>
    </xf>
    <xf numFmtId="214" fontId="17" fillId="33" borderId="12" xfId="33" applyNumberFormat="1" applyFont="1" applyFill="1" applyBorder="1" applyAlignment="1">
      <alignment horizontal="right" vertical="center" shrinkToFit="1"/>
    </xf>
    <xf numFmtId="0" fontId="80" fillId="37" borderId="11" xfId="0" applyFont="1" applyFill="1" applyBorder="1" applyAlignment="1">
      <alignment vertical="center" shrinkToFit="1"/>
    </xf>
    <xf numFmtId="0" fontId="80" fillId="37" borderId="12" xfId="0" applyFont="1" applyFill="1" applyBorder="1" applyAlignment="1">
      <alignment vertical="center" shrinkToFit="1"/>
    </xf>
    <xf numFmtId="49" fontId="80" fillId="37" borderId="13" xfId="0" applyNumberFormat="1" applyFont="1" applyFill="1" applyBorder="1" applyAlignment="1">
      <alignment horizontal="center" vertical="center" shrinkToFit="1"/>
    </xf>
    <xf numFmtId="190" fontId="80" fillId="37" borderId="12" xfId="0" applyNumberFormat="1" applyFont="1" applyFill="1" applyBorder="1" applyAlignment="1">
      <alignment horizontal="left" vertical="center" shrinkToFit="1"/>
    </xf>
    <xf numFmtId="188" fontId="80" fillId="37" borderId="10" xfId="0" applyNumberFormat="1" applyFont="1" applyFill="1" applyBorder="1" applyAlignment="1">
      <alignment horizontal="center" vertical="center" shrinkToFit="1"/>
    </xf>
    <xf numFmtId="187" fontId="80" fillId="37" borderId="10" xfId="0" applyNumberFormat="1" applyFont="1" applyFill="1" applyBorder="1" applyAlignment="1">
      <alignment horizontal="center" vertical="center" shrinkToFit="1"/>
    </xf>
    <xf numFmtId="214" fontId="80" fillId="37" borderId="10" xfId="33" applyNumberFormat="1" applyFont="1" applyFill="1" applyBorder="1" applyAlignment="1">
      <alignment horizontal="right" vertical="center" shrinkToFit="1"/>
    </xf>
    <xf numFmtId="214" fontId="82" fillId="37" borderId="10" xfId="33" applyNumberFormat="1" applyFont="1" applyFill="1" applyBorder="1" applyAlignment="1">
      <alignment horizontal="right" vertical="center" shrinkToFit="1"/>
    </xf>
    <xf numFmtId="218" fontId="3" fillId="33" borderId="0" xfId="0" applyNumberFormat="1" applyFont="1" applyFill="1" applyAlignment="1">
      <alignment horizontal="center" vertical="center" shrinkToFit="1"/>
    </xf>
    <xf numFmtId="224" fontId="93" fillId="36" borderId="10" xfId="0" applyNumberFormat="1" applyFont="1" applyFill="1" applyBorder="1" applyAlignment="1">
      <alignment horizontal="center" vertical="center" shrinkToFit="1"/>
    </xf>
    <xf numFmtId="0" fontId="13" fillId="33" borderId="14" xfId="0" applyFont="1" applyFill="1" applyBorder="1" applyAlignment="1">
      <alignment vertical="center" shrinkToFit="1"/>
    </xf>
    <xf numFmtId="0" fontId="4" fillId="33" borderId="0" xfId="0" applyNumberFormat="1" applyFont="1" applyFill="1" applyBorder="1" applyAlignment="1">
      <alignment vertical="center" shrinkToFit="1"/>
    </xf>
    <xf numFmtId="3" fontId="13" fillId="33" borderId="14" xfId="33" applyNumberFormat="1" applyFont="1" applyFill="1" applyBorder="1" applyAlignment="1">
      <alignment horizontal="center" vertical="center" shrinkToFit="1"/>
    </xf>
    <xf numFmtId="49" fontId="13" fillId="33" borderId="14" xfId="0" applyNumberFormat="1" applyFont="1" applyFill="1" applyBorder="1" applyAlignment="1">
      <alignment horizontal="center" vertical="center" shrinkToFit="1"/>
    </xf>
    <xf numFmtId="49" fontId="13" fillId="33" borderId="14" xfId="0" applyNumberFormat="1" applyFont="1" applyFill="1" applyBorder="1" applyAlignment="1">
      <alignment horizontal="left" vertical="center" shrinkToFit="1"/>
    </xf>
    <xf numFmtId="188" fontId="13" fillId="33" borderId="14" xfId="0" applyNumberFormat="1" applyFont="1" applyFill="1" applyBorder="1" applyAlignment="1">
      <alignment horizontal="center" vertical="center" shrinkToFit="1"/>
    </xf>
    <xf numFmtId="187" fontId="13" fillId="33" borderId="14" xfId="0" applyNumberFormat="1" applyFont="1" applyFill="1" applyBorder="1" applyAlignment="1">
      <alignment horizontal="center" vertical="center" shrinkToFit="1"/>
    </xf>
    <xf numFmtId="0" fontId="13" fillId="33" borderId="14" xfId="0" applyFont="1" applyFill="1" applyBorder="1" applyAlignment="1">
      <alignment horizontal="center" vertical="center" shrinkToFit="1"/>
    </xf>
    <xf numFmtId="49" fontId="13" fillId="33" borderId="14" xfId="0" applyNumberFormat="1" applyFont="1" applyFill="1" applyBorder="1" applyAlignment="1">
      <alignment vertical="center" shrinkToFit="1"/>
    </xf>
    <xf numFmtId="49" fontId="12" fillId="33" borderId="14" xfId="0" applyNumberFormat="1" applyFont="1" applyFill="1" applyBorder="1" applyAlignment="1">
      <alignment vertical="center" shrinkToFit="1"/>
    </xf>
    <xf numFmtId="49" fontId="12" fillId="33" borderId="14" xfId="0" applyNumberFormat="1" applyFont="1" applyFill="1" applyBorder="1" applyAlignment="1">
      <alignment horizontal="center" vertical="center" shrinkToFit="1"/>
    </xf>
    <xf numFmtId="0" fontId="8" fillId="33" borderId="14" xfId="0" applyNumberFormat="1" applyFont="1" applyFill="1" applyBorder="1" applyAlignment="1">
      <alignment horizontal="center" vertical="center" shrinkToFit="1"/>
    </xf>
    <xf numFmtId="0" fontId="9" fillId="33" borderId="15" xfId="0" applyNumberFormat="1" applyFont="1" applyFill="1" applyBorder="1" applyAlignment="1">
      <alignment horizontal="center" vertical="center" wrapText="1" shrinkToFit="1"/>
    </xf>
    <xf numFmtId="0" fontId="9" fillId="33" borderId="0" xfId="0" applyNumberFormat="1" applyFont="1" applyFill="1" applyBorder="1" applyAlignment="1">
      <alignment horizontal="center" vertical="center" wrapText="1" shrinkToFit="1"/>
    </xf>
    <xf numFmtId="0" fontId="8" fillId="33" borderId="15" xfId="0" applyFont="1" applyFill="1" applyBorder="1" applyAlignment="1">
      <alignment horizontal="center" vertical="center" wrapText="1" shrinkToFit="1"/>
    </xf>
    <xf numFmtId="0" fontId="8" fillId="33" borderId="14" xfId="0" applyFont="1" applyFill="1" applyBorder="1" applyAlignment="1">
      <alignment horizontal="center" vertical="center" wrapText="1" shrinkToFit="1"/>
    </xf>
    <xf numFmtId="3" fontId="13" fillId="33" borderId="10" xfId="33" applyNumberFormat="1" applyFont="1" applyFill="1" applyBorder="1" applyAlignment="1">
      <alignment horizontal="center" vertical="center" wrapText="1"/>
    </xf>
    <xf numFmtId="208" fontId="4" fillId="33" borderId="25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224" fontId="80" fillId="36" borderId="10" xfId="0" applyNumberFormat="1" applyFont="1" applyFill="1" applyBorder="1" applyAlignment="1">
      <alignment vertical="center" shrinkToFit="1"/>
    </xf>
    <xf numFmtId="0" fontId="82" fillId="36" borderId="10" xfId="0" applyFont="1" applyFill="1" applyBorder="1" applyAlignment="1">
      <alignment horizontal="center" vertical="center" shrinkToFit="1"/>
    </xf>
    <xf numFmtId="190" fontId="80" fillId="33" borderId="12" xfId="0" applyNumberFormat="1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left"/>
    </xf>
    <xf numFmtId="49" fontId="8" fillId="36" borderId="0" xfId="0" applyNumberFormat="1" applyFont="1" applyFill="1" applyBorder="1" applyAlignment="1">
      <alignment horizontal="center" vertical="center" shrinkToFit="1"/>
    </xf>
    <xf numFmtId="214" fontId="80" fillId="33" borderId="12" xfId="33" applyNumberFormat="1" applyFont="1" applyFill="1" applyBorder="1" applyAlignment="1">
      <alignment horizontal="right" vertical="center" shrinkToFit="1"/>
    </xf>
    <xf numFmtId="49" fontId="80" fillId="36" borderId="10" xfId="0" applyNumberFormat="1" applyFont="1" applyFill="1" applyBorder="1" applyAlignment="1">
      <alignment horizontal="center" vertical="center" shrinkToFit="1"/>
    </xf>
    <xf numFmtId="0" fontId="85" fillId="33" borderId="0" xfId="0" applyFont="1" applyFill="1" applyAlignment="1">
      <alignment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79" fillId="33" borderId="0" xfId="0" applyFont="1" applyFill="1" applyAlignment="1">
      <alignment horizontal="center" vertical="center" shrinkToFit="1"/>
    </xf>
    <xf numFmtId="187" fontId="13" fillId="0" borderId="10" xfId="0" applyNumberFormat="1" applyFont="1" applyFill="1" applyBorder="1" applyAlignment="1">
      <alignment horizontal="center" vertical="center" shrinkToFit="1"/>
    </xf>
    <xf numFmtId="0" fontId="80" fillId="33" borderId="10" xfId="0" applyNumberFormat="1" applyFont="1" applyFill="1" applyBorder="1" applyAlignment="1">
      <alignment horizontal="center" vertical="center" shrinkToFit="1"/>
    </xf>
    <xf numFmtId="0" fontId="80" fillId="33" borderId="10" xfId="0" applyFont="1" applyFill="1" applyBorder="1" applyAlignment="1">
      <alignment horizontal="center" vertical="center" shrinkToFit="1"/>
    </xf>
    <xf numFmtId="49" fontId="13" fillId="0" borderId="11" xfId="0" applyNumberFormat="1" applyFont="1" applyFill="1" applyBorder="1" applyAlignment="1">
      <alignment vertical="center"/>
    </xf>
    <xf numFmtId="49" fontId="13" fillId="0" borderId="12" xfId="0" applyNumberFormat="1" applyFont="1" applyFill="1" applyBorder="1" applyAlignment="1">
      <alignment vertical="center"/>
    </xf>
    <xf numFmtId="49" fontId="13" fillId="0" borderId="13" xfId="0" applyNumberFormat="1" applyFont="1" applyFill="1" applyBorder="1" applyAlignment="1">
      <alignment horizontal="center" vertical="center" shrinkToFit="1"/>
    </xf>
    <xf numFmtId="214" fontId="13" fillId="0" borderId="10" xfId="33" applyNumberFormat="1" applyFont="1" applyFill="1" applyBorder="1" applyAlignment="1">
      <alignment horizontal="right" vertical="center" shrinkToFit="1"/>
    </xf>
    <xf numFmtId="214" fontId="12" fillId="0" borderId="10" xfId="33" applyNumberFormat="1" applyFont="1" applyFill="1" applyBorder="1" applyAlignment="1">
      <alignment horizontal="right" vertical="center" shrinkToFit="1"/>
    </xf>
    <xf numFmtId="0" fontId="17" fillId="33" borderId="13" xfId="0" applyFont="1" applyFill="1" applyBorder="1" applyAlignment="1">
      <alignment vertical="center" shrinkToFit="1"/>
    </xf>
    <xf numFmtId="49" fontId="17" fillId="0" borderId="11" xfId="0" applyNumberFormat="1" applyFont="1" applyBorder="1" applyAlignment="1">
      <alignment vertical="center"/>
    </xf>
    <xf numFmtId="49" fontId="17" fillId="0" borderId="12" xfId="0" applyNumberFormat="1" applyFont="1" applyBorder="1" applyAlignment="1">
      <alignment vertical="center"/>
    </xf>
    <xf numFmtId="49" fontId="17" fillId="33" borderId="13" xfId="0" applyNumberFormat="1" applyFont="1" applyFill="1" applyBorder="1" applyAlignment="1">
      <alignment horizontal="center" vertical="center" shrinkToFit="1"/>
    </xf>
    <xf numFmtId="190" fontId="17" fillId="33" borderId="12" xfId="0" applyNumberFormat="1" applyFont="1" applyFill="1" applyBorder="1" applyAlignment="1">
      <alignment horizontal="left" vertical="center" shrinkToFit="1"/>
    </xf>
    <xf numFmtId="188" fontId="17" fillId="33" borderId="10" xfId="0" applyNumberFormat="1" applyFont="1" applyFill="1" applyBorder="1" applyAlignment="1">
      <alignment horizontal="center" vertical="center" shrinkToFit="1"/>
    </xf>
    <xf numFmtId="187" fontId="17" fillId="33" borderId="10" xfId="0" applyNumberFormat="1" applyFont="1" applyFill="1" applyBorder="1" applyAlignment="1">
      <alignment horizontal="center" vertical="center" shrinkToFit="1"/>
    </xf>
    <xf numFmtId="214" fontId="17" fillId="33" borderId="10" xfId="33" applyNumberFormat="1" applyFont="1" applyFill="1" applyBorder="1" applyAlignment="1">
      <alignment horizontal="right" vertical="center" shrinkToFit="1"/>
    </xf>
    <xf numFmtId="224" fontId="17" fillId="38" borderId="10" xfId="33" applyNumberFormat="1" applyFont="1" applyFill="1" applyBorder="1" applyAlignment="1">
      <alignment horizontal="right" vertical="center" shrinkToFit="1"/>
    </xf>
    <xf numFmtId="224" fontId="17" fillId="38" borderId="10" xfId="0" applyNumberFormat="1" applyFont="1" applyFill="1" applyBorder="1" applyAlignment="1">
      <alignment vertical="center" shrinkToFit="1"/>
    </xf>
    <xf numFmtId="0" fontId="17" fillId="37" borderId="13" xfId="0" applyFont="1" applyFill="1" applyBorder="1" applyAlignment="1">
      <alignment vertical="center" shrinkToFit="1"/>
    </xf>
    <xf numFmtId="49" fontId="17" fillId="37" borderId="11" xfId="0" applyNumberFormat="1" applyFont="1" applyFill="1" applyBorder="1" applyAlignment="1">
      <alignment vertical="center"/>
    </xf>
    <xf numFmtId="49" fontId="17" fillId="37" borderId="12" xfId="0" applyNumberFormat="1" applyFont="1" applyFill="1" applyBorder="1" applyAlignment="1">
      <alignment vertical="center"/>
    </xf>
    <xf numFmtId="49" fontId="17" fillId="37" borderId="13" xfId="0" applyNumberFormat="1" applyFont="1" applyFill="1" applyBorder="1" applyAlignment="1">
      <alignment horizontal="center" vertical="center" shrinkToFit="1"/>
    </xf>
    <xf numFmtId="190" fontId="17" fillId="37" borderId="12" xfId="0" applyNumberFormat="1" applyFont="1" applyFill="1" applyBorder="1" applyAlignment="1">
      <alignment horizontal="left" vertical="center" shrinkToFit="1"/>
    </xf>
    <xf numFmtId="188" fontId="17" fillId="37" borderId="10" xfId="0" applyNumberFormat="1" applyFont="1" applyFill="1" applyBorder="1" applyAlignment="1">
      <alignment horizontal="center" vertical="center" shrinkToFit="1"/>
    </xf>
    <xf numFmtId="187" fontId="17" fillId="37" borderId="10" xfId="0" applyNumberFormat="1" applyFont="1" applyFill="1" applyBorder="1" applyAlignment="1">
      <alignment horizontal="center" vertical="center" shrinkToFit="1"/>
    </xf>
    <xf numFmtId="0" fontId="17" fillId="37" borderId="10" xfId="0" applyFont="1" applyFill="1" applyBorder="1" applyAlignment="1">
      <alignment horizontal="center" vertical="center" shrinkToFit="1"/>
    </xf>
    <xf numFmtId="0" fontId="92" fillId="37" borderId="10" xfId="0" applyFont="1" applyFill="1" applyBorder="1" applyAlignment="1">
      <alignment horizontal="center" vertical="center" shrinkToFit="1"/>
    </xf>
    <xf numFmtId="214" fontId="17" fillId="37" borderId="10" xfId="33" applyNumberFormat="1" applyFont="1" applyFill="1" applyBorder="1" applyAlignment="1">
      <alignment horizontal="right" vertical="center" shrinkToFit="1"/>
    </xf>
    <xf numFmtId="224" fontId="17" fillId="37" borderId="10" xfId="0" applyNumberFormat="1" applyFont="1" applyFill="1" applyBorder="1" applyAlignment="1">
      <alignment vertical="center" shrinkToFit="1"/>
    </xf>
    <xf numFmtId="224" fontId="17" fillId="38" borderId="10" xfId="0" applyNumberFormat="1" applyFont="1" applyFill="1" applyBorder="1" applyAlignment="1">
      <alignment horizontal="center" vertical="center" shrinkToFit="1"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33" borderId="11" xfId="0" applyFont="1" applyFill="1" applyBorder="1" applyAlignment="1">
      <alignment vertical="center" shrinkToFit="1"/>
    </xf>
    <xf numFmtId="0" fontId="17" fillId="33" borderId="12" xfId="0" applyFont="1" applyFill="1" applyBorder="1" applyAlignment="1">
      <alignment vertical="center" shrinkToFit="1"/>
    </xf>
    <xf numFmtId="214" fontId="92" fillId="33" borderId="10" xfId="33" applyNumberFormat="1" applyFont="1" applyFill="1" applyBorder="1" applyAlignment="1">
      <alignment horizontal="right" vertical="center" shrinkToFit="1"/>
    </xf>
    <xf numFmtId="0" fontId="92" fillId="33" borderId="13" xfId="0" applyFont="1" applyFill="1" applyBorder="1" applyAlignment="1">
      <alignment vertical="center" shrinkToFit="1"/>
    </xf>
    <xf numFmtId="0" fontId="92" fillId="33" borderId="11" xfId="0" applyFont="1" applyFill="1" applyBorder="1" applyAlignment="1">
      <alignment vertical="center" shrinkToFit="1"/>
    </xf>
    <xf numFmtId="0" fontId="92" fillId="33" borderId="12" xfId="0" applyFont="1" applyFill="1" applyBorder="1" applyAlignment="1">
      <alignment vertical="center" shrinkToFit="1"/>
    </xf>
    <xf numFmtId="49" fontId="92" fillId="33" borderId="13" xfId="0" applyNumberFormat="1" applyFont="1" applyFill="1" applyBorder="1" applyAlignment="1">
      <alignment horizontal="center" vertical="center" shrinkToFit="1"/>
    </xf>
    <xf numFmtId="190" fontId="92" fillId="33" borderId="12" xfId="0" applyNumberFormat="1" applyFont="1" applyFill="1" applyBorder="1" applyAlignment="1">
      <alignment horizontal="left" vertical="center" shrinkToFit="1"/>
    </xf>
    <xf numFmtId="188" fontId="92" fillId="33" borderId="10" xfId="0" applyNumberFormat="1" applyFont="1" applyFill="1" applyBorder="1" applyAlignment="1">
      <alignment horizontal="center" vertical="center" shrinkToFit="1"/>
    </xf>
    <xf numFmtId="187" fontId="92" fillId="33" borderId="10" xfId="0" applyNumberFormat="1" applyFont="1" applyFill="1" applyBorder="1" applyAlignment="1">
      <alignment horizontal="center" vertical="center" shrinkToFit="1"/>
    </xf>
    <xf numFmtId="224" fontId="94" fillId="38" borderId="10" xfId="0" applyNumberFormat="1" applyFont="1" applyFill="1" applyBorder="1" applyAlignment="1">
      <alignment horizontal="center" vertical="center" shrinkToFit="1"/>
    </xf>
    <xf numFmtId="224" fontId="92" fillId="38" borderId="10" xfId="0" applyNumberFormat="1" applyFont="1" applyFill="1" applyBorder="1" applyAlignment="1">
      <alignment horizontal="center" vertical="center" shrinkToFit="1"/>
    </xf>
    <xf numFmtId="190" fontId="17" fillId="33" borderId="12" xfId="0" applyNumberFormat="1" applyFont="1" applyFill="1" applyBorder="1" applyAlignment="1">
      <alignment horizontal="center" vertical="center" shrinkToFit="1"/>
    </xf>
    <xf numFmtId="49" fontId="92" fillId="0" borderId="11" xfId="0" applyNumberFormat="1" applyFont="1" applyBorder="1" applyAlignment="1">
      <alignment vertical="center"/>
    </xf>
    <xf numFmtId="49" fontId="92" fillId="0" borderId="12" xfId="0" applyNumberFormat="1" applyFont="1" applyBorder="1" applyAlignment="1">
      <alignment vertical="center"/>
    </xf>
    <xf numFmtId="190" fontId="92" fillId="33" borderId="12" xfId="0" applyNumberFormat="1" applyFont="1" applyFill="1" applyBorder="1" applyAlignment="1">
      <alignment horizontal="center" vertical="center" shrinkToFit="1"/>
    </xf>
    <xf numFmtId="0" fontId="17" fillId="33" borderId="10" xfId="0" applyFont="1" applyFill="1" applyBorder="1" applyAlignment="1">
      <alignment vertical="center" shrinkToFit="1"/>
    </xf>
    <xf numFmtId="0" fontId="17" fillId="37" borderId="11" xfId="0" applyFont="1" applyFill="1" applyBorder="1" applyAlignment="1">
      <alignment vertical="center" shrinkToFit="1"/>
    </xf>
    <xf numFmtId="0" fontId="17" fillId="37" borderId="12" xfId="0" applyFont="1" applyFill="1" applyBorder="1" applyAlignment="1">
      <alignment vertical="center" shrinkToFit="1"/>
    </xf>
    <xf numFmtId="190" fontId="17" fillId="37" borderId="12" xfId="0" applyNumberFormat="1" applyFont="1" applyFill="1" applyBorder="1" applyAlignment="1">
      <alignment horizontal="center" vertical="center" shrinkToFit="1"/>
    </xf>
    <xf numFmtId="224" fontId="17" fillId="37" borderId="10" xfId="0" applyNumberFormat="1" applyFont="1" applyFill="1" applyBorder="1" applyAlignment="1">
      <alignment horizontal="center" vertical="center" shrinkToFit="1"/>
    </xf>
    <xf numFmtId="224" fontId="95" fillId="38" borderId="10" xfId="0" applyNumberFormat="1" applyFont="1" applyFill="1" applyBorder="1" applyAlignment="1">
      <alignment horizontal="center" vertical="center" shrinkToFit="1"/>
    </xf>
    <xf numFmtId="224" fontId="96" fillId="38" borderId="12" xfId="0" applyNumberFormat="1" applyFont="1" applyFill="1" applyBorder="1" applyAlignment="1">
      <alignment horizontal="center" vertical="center" shrinkToFit="1"/>
    </xf>
    <xf numFmtId="214" fontId="92" fillId="33" borderId="12" xfId="33" applyNumberFormat="1" applyFont="1" applyFill="1" applyBorder="1" applyAlignment="1">
      <alignment horizontal="right" vertical="center" shrinkToFit="1"/>
    </xf>
    <xf numFmtId="224" fontId="92" fillId="38" borderId="12" xfId="0" applyNumberFormat="1" applyFont="1" applyFill="1" applyBorder="1" applyAlignment="1">
      <alignment horizontal="center" vertical="center" shrinkToFit="1"/>
    </xf>
    <xf numFmtId="0" fontId="17" fillId="33" borderId="0" xfId="0" applyFont="1" applyFill="1" applyBorder="1" applyAlignment="1">
      <alignment vertical="center" shrinkToFit="1"/>
    </xf>
    <xf numFmtId="224" fontId="17" fillId="38" borderId="12" xfId="33" applyNumberFormat="1" applyFont="1" applyFill="1" applyBorder="1" applyAlignment="1">
      <alignment horizontal="right" vertical="center" shrinkToFit="1"/>
    </xf>
    <xf numFmtId="224" fontId="17" fillId="38" borderId="12" xfId="0" applyNumberFormat="1" applyFont="1" applyFill="1" applyBorder="1" applyAlignment="1">
      <alignment vertical="center" shrinkToFit="1"/>
    </xf>
    <xf numFmtId="224" fontId="17" fillId="38" borderId="12" xfId="0" applyNumberFormat="1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vertical="center" shrinkToFit="1"/>
    </xf>
    <xf numFmtId="49" fontId="17" fillId="0" borderId="11" xfId="0" applyNumberFormat="1" applyFont="1" applyFill="1" applyBorder="1" applyAlignment="1">
      <alignment vertical="center"/>
    </xf>
    <xf numFmtId="49" fontId="17" fillId="0" borderId="12" xfId="0" applyNumberFormat="1" applyFont="1" applyFill="1" applyBorder="1" applyAlignment="1">
      <alignment vertical="center"/>
    </xf>
    <xf numFmtId="49" fontId="17" fillId="0" borderId="13" xfId="0" applyNumberFormat="1" applyFont="1" applyFill="1" applyBorder="1" applyAlignment="1">
      <alignment horizontal="center" vertical="center" shrinkToFit="1"/>
    </xf>
    <xf numFmtId="190" fontId="17" fillId="0" borderId="12" xfId="0" applyNumberFormat="1" applyFont="1" applyFill="1" applyBorder="1" applyAlignment="1">
      <alignment horizontal="left" vertical="center" shrinkToFit="1"/>
    </xf>
    <xf numFmtId="188" fontId="17" fillId="0" borderId="10" xfId="0" applyNumberFormat="1" applyFont="1" applyFill="1" applyBorder="1" applyAlignment="1">
      <alignment horizontal="center" vertical="center" shrinkToFit="1"/>
    </xf>
    <xf numFmtId="187" fontId="17" fillId="0" borderId="10" xfId="0" applyNumberFormat="1" applyFont="1" applyFill="1" applyBorder="1" applyAlignment="1">
      <alignment horizontal="center" vertical="center" shrinkToFit="1"/>
    </xf>
    <xf numFmtId="0" fontId="17" fillId="0" borderId="23" xfId="0" applyFont="1" applyFill="1" applyBorder="1" applyAlignment="1">
      <alignment horizontal="center" vertical="center" shrinkToFit="1"/>
    </xf>
    <xf numFmtId="0" fontId="92" fillId="0" borderId="23" xfId="0" applyFont="1" applyFill="1" applyBorder="1" applyAlignment="1">
      <alignment horizontal="center" vertical="center" shrinkToFit="1"/>
    </xf>
    <xf numFmtId="214" fontId="17" fillId="0" borderId="10" xfId="33" applyNumberFormat="1" applyFont="1" applyFill="1" applyBorder="1" applyAlignment="1">
      <alignment horizontal="right" vertical="center" shrinkToFit="1"/>
    </xf>
    <xf numFmtId="214" fontId="17" fillId="0" borderId="12" xfId="33" applyNumberFormat="1" applyFont="1" applyFill="1" applyBorder="1" applyAlignment="1">
      <alignment horizontal="right" vertical="center" shrinkToFit="1"/>
    </xf>
    <xf numFmtId="0" fontId="17" fillId="33" borderId="23" xfId="0" applyFont="1" applyFill="1" applyBorder="1" applyAlignment="1">
      <alignment horizontal="center" vertical="center" shrinkToFit="1"/>
    </xf>
    <xf numFmtId="0" fontId="92" fillId="33" borderId="23" xfId="0" applyFont="1" applyFill="1" applyBorder="1" applyAlignment="1">
      <alignment horizontal="center" vertical="center" shrinkToFit="1"/>
    </xf>
    <xf numFmtId="0" fontId="17" fillId="33" borderId="13" xfId="0" applyFont="1" applyFill="1" applyBorder="1" applyAlignment="1">
      <alignment horizontal="left" vertical="center" shrinkToFit="1"/>
    </xf>
    <xf numFmtId="0" fontId="17" fillId="33" borderId="11" xfId="0" applyFont="1" applyFill="1" applyBorder="1" applyAlignment="1">
      <alignment horizontal="left" vertical="center" shrinkToFit="1"/>
    </xf>
    <xf numFmtId="0" fontId="17" fillId="33" borderId="12" xfId="0" applyFont="1" applyFill="1" applyBorder="1" applyAlignment="1">
      <alignment horizontal="left" vertical="center" shrinkToFit="1"/>
    </xf>
    <xf numFmtId="49" fontId="17" fillId="33" borderId="0" xfId="0" applyNumberFormat="1" applyFont="1" applyFill="1" applyAlignment="1">
      <alignment vertical="center" shrinkToFit="1"/>
    </xf>
    <xf numFmtId="214" fontId="94" fillId="33" borderId="10" xfId="33" applyNumberFormat="1" applyFont="1" applyFill="1" applyBorder="1" applyAlignment="1">
      <alignment horizontal="right" vertical="center" shrinkToFit="1"/>
    </xf>
    <xf numFmtId="224" fontId="97" fillId="38" borderId="10" xfId="0" applyNumberFormat="1" applyFont="1" applyFill="1" applyBorder="1" applyAlignment="1">
      <alignment horizontal="center" vertical="center" shrinkToFit="1"/>
    </xf>
    <xf numFmtId="0" fontId="9" fillId="34" borderId="11" xfId="0" applyFont="1" applyFill="1" applyBorder="1" applyAlignment="1">
      <alignment vertical="center" shrinkToFit="1"/>
    </xf>
    <xf numFmtId="49" fontId="9" fillId="34" borderId="11" xfId="0" applyNumberFormat="1" applyFont="1" applyFill="1" applyBorder="1" applyAlignment="1">
      <alignment horizontal="center" vertical="center" shrinkToFit="1"/>
    </xf>
    <xf numFmtId="190" fontId="9" fillId="34" borderId="11" xfId="0" applyNumberFormat="1" applyFont="1" applyFill="1" applyBorder="1" applyAlignment="1">
      <alignment horizontal="left" vertical="center" shrinkToFit="1"/>
    </xf>
    <xf numFmtId="3" fontId="9" fillId="34" borderId="11" xfId="33" applyNumberFormat="1" applyFont="1" applyFill="1" applyBorder="1" applyAlignment="1">
      <alignment horizontal="right" vertical="center"/>
    </xf>
    <xf numFmtId="187" fontId="9" fillId="34" borderId="11" xfId="0" applyNumberFormat="1" applyFont="1" applyFill="1" applyBorder="1" applyAlignment="1">
      <alignment horizontal="center" vertical="center" shrinkToFit="1"/>
    </xf>
    <xf numFmtId="0" fontId="9" fillId="34" borderId="11" xfId="0" applyFont="1" applyFill="1" applyBorder="1" applyAlignment="1">
      <alignment horizontal="center" vertical="center" shrinkToFit="1"/>
    </xf>
    <xf numFmtId="0" fontId="94" fillId="34" borderId="11" xfId="0" applyFont="1" applyFill="1" applyBorder="1" applyAlignment="1">
      <alignment horizontal="center" vertical="center" shrinkToFit="1"/>
    </xf>
    <xf numFmtId="3" fontId="9" fillId="34" borderId="10" xfId="33" applyNumberFormat="1" applyFont="1" applyFill="1" applyBorder="1" applyAlignment="1">
      <alignment horizontal="right" vertical="center" shrinkToFit="1"/>
    </xf>
    <xf numFmtId="49" fontId="9" fillId="34" borderId="10" xfId="0" applyNumberFormat="1" applyFont="1" applyFill="1" applyBorder="1" applyAlignment="1">
      <alignment horizontal="center" vertical="center" shrinkToFit="1"/>
    </xf>
    <xf numFmtId="188" fontId="9" fillId="34" borderId="11" xfId="0" applyNumberFormat="1" applyFont="1" applyFill="1" applyBorder="1" applyAlignment="1">
      <alignment horizontal="center" vertical="center" shrinkToFit="1"/>
    </xf>
    <xf numFmtId="0" fontId="9" fillId="34" borderId="11" xfId="0" applyNumberFormat="1" applyFont="1" applyFill="1" applyBorder="1" applyAlignment="1">
      <alignment horizontal="right" vertical="center"/>
    </xf>
    <xf numFmtId="49" fontId="9" fillId="36" borderId="12" xfId="0" applyNumberFormat="1" applyFont="1" applyFill="1" applyBorder="1" applyAlignment="1">
      <alignment horizontal="center" vertical="center" shrinkToFit="1"/>
    </xf>
    <xf numFmtId="49" fontId="17" fillId="33" borderId="12" xfId="0" applyNumberFormat="1" applyFont="1" applyFill="1" applyBorder="1" applyAlignment="1">
      <alignment horizontal="center" vertical="center" shrinkToFit="1"/>
    </xf>
    <xf numFmtId="3" fontId="9" fillId="33" borderId="10" xfId="33" applyNumberFormat="1" applyFont="1" applyFill="1" applyBorder="1" applyAlignment="1">
      <alignment horizontal="center" vertical="center" wrapText="1"/>
    </xf>
    <xf numFmtId="0" fontId="94" fillId="33" borderId="10" xfId="0" applyNumberFormat="1" applyFont="1" applyFill="1" applyBorder="1" applyAlignment="1">
      <alignment horizontal="center" vertical="center" wrapText="1"/>
    </xf>
    <xf numFmtId="3" fontId="17" fillId="33" borderId="0" xfId="33" applyNumberFormat="1" applyFont="1" applyFill="1" applyAlignment="1">
      <alignment horizontal="center" vertical="center" shrinkToFit="1"/>
    </xf>
    <xf numFmtId="3" fontId="17" fillId="33" borderId="10" xfId="33" applyNumberFormat="1" applyFont="1" applyFill="1" applyBorder="1" applyAlignment="1">
      <alignment horizontal="center" vertical="center" shrinkToFit="1"/>
    </xf>
    <xf numFmtId="3" fontId="92" fillId="33" borderId="10" xfId="33" applyNumberFormat="1" applyFont="1" applyFill="1" applyBorder="1" applyAlignment="1">
      <alignment horizontal="center" vertical="center" shrinkToFit="1"/>
    </xf>
    <xf numFmtId="3" fontId="17" fillId="33" borderId="11" xfId="33" applyNumberFormat="1" applyFont="1" applyFill="1" applyBorder="1" applyAlignment="1">
      <alignment horizontal="center" vertical="center" shrinkToFit="1"/>
    </xf>
    <xf numFmtId="0" fontId="17" fillId="33" borderId="0" xfId="0" applyFont="1" applyFill="1" applyBorder="1" applyAlignment="1">
      <alignment horizontal="center" vertical="center" shrinkToFit="1"/>
    </xf>
    <xf numFmtId="3" fontId="17" fillId="33" borderId="0" xfId="33" applyNumberFormat="1" applyFont="1" applyFill="1" applyBorder="1" applyAlignment="1">
      <alignment horizontal="center" vertical="center" shrinkToFit="1"/>
    </xf>
    <xf numFmtId="3" fontId="17" fillId="33" borderId="23" xfId="33" applyNumberFormat="1" applyFont="1" applyFill="1" applyBorder="1" applyAlignment="1">
      <alignment horizontal="center" vertical="center" shrinkToFit="1"/>
    </xf>
    <xf numFmtId="3" fontId="9" fillId="34" borderId="14" xfId="33" applyNumberFormat="1" applyFont="1" applyFill="1" applyBorder="1" applyAlignment="1">
      <alignment horizontal="center" vertical="center" shrinkToFit="1"/>
    </xf>
    <xf numFmtId="224" fontId="13" fillId="0" borderId="10" xfId="0" applyNumberFormat="1" applyFont="1" applyFill="1" applyBorder="1" applyAlignment="1">
      <alignment horizontal="center" vertical="center" shrinkToFit="1"/>
    </xf>
    <xf numFmtId="0" fontId="80" fillId="38" borderId="23" xfId="0" applyFont="1" applyFill="1" applyBorder="1" applyAlignment="1">
      <alignment horizontal="center" vertical="center" shrinkToFit="1"/>
    </xf>
    <xf numFmtId="224" fontId="98" fillId="36" borderId="10" xfId="0" applyNumberFormat="1" applyFont="1" applyFill="1" applyBorder="1" applyAlignment="1">
      <alignment horizontal="center" vertical="center" shrinkToFit="1"/>
    </xf>
    <xf numFmtId="224" fontId="99" fillId="36" borderId="10" xfId="0" applyNumberFormat="1" applyFont="1" applyFill="1" applyBorder="1" applyAlignment="1">
      <alignment horizontal="center" vertical="center" shrinkToFit="1"/>
    </xf>
    <xf numFmtId="0" fontId="80" fillId="0" borderId="23" xfId="0" applyFont="1" applyFill="1" applyBorder="1" applyAlignment="1">
      <alignment horizontal="center" vertical="center" shrinkToFit="1"/>
    </xf>
    <xf numFmtId="224" fontId="16" fillId="36" borderId="10" xfId="0" applyNumberFormat="1" applyFont="1" applyFill="1" applyBorder="1" applyAlignment="1">
      <alignment horizontal="center" vertical="center" shrinkToFit="1"/>
    </xf>
    <xf numFmtId="0" fontId="79" fillId="33" borderId="0" xfId="0" applyFont="1" applyFill="1" applyBorder="1" applyAlignment="1">
      <alignment horizontal="center" vertical="center" shrinkToFit="1"/>
    </xf>
    <xf numFmtId="214" fontId="92" fillId="0" borderId="10" xfId="33" applyNumberFormat="1" applyFont="1" applyFill="1" applyBorder="1" applyAlignment="1">
      <alignment horizontal="right" vertical="center" shrinkToFit="1"/>
    </xf>
    <xf numFmtId="0" fontId="17" fillId="0" borderId="11" xfId="0" applyFont="1" applyFill="1" applyBorder="1" applyAlignment="1">
      <alignment vertical="center" shrinkToFit="1"/>
    </xf>
    <xf numFmtId="0" fontId="17" fillId="0" borderId="12" xfId="0" applyFont="1" applyFill="1" applyBorder="1" applyAlignment="1">
      <alignment vertical="center" shrinkToFit="1"/>
    </xf>
    <xf numFmtId="187" fontId="79" fillId="33" borderId="10" xfId="0" applyNumberFormat="1" applyFont="1" applyFill="1" applyBorder="1" applyAlignment="1">
      <alignment horizontal="center" vertical="center" shrinkToFit="1"/>
    </xf>
    <xf numFmtId="0" fontId="80" fillId="33" borderId="21" xfId="0" applyNumberFormat="1" applyFont="1" applyFill="1" applyBorder="1" applyAlignment="1">
      <alignment horizontal="center" vertical="center" shrinkToFit="1"/>
    </xf>
    <xf numFmtId="49" fontId="80" fillId="33" borderId="0" xfId="0" applyNumberFormat="1" applyFont="1" applyFill="1" applyBorder="1" applyAlignment="1">
      <alignment horizontal="center" vertical="center" shrinkToFit="1"/>
    </xf>
    <xf numFmtId="0" fontId="80" fillId="38" borderId="13" xfId="0" applyFont="1" applyFill="1" applyBorder="1" applyAlignment="1">
      <alignment vertical="center" shrinkToFit="1"/>
    </xf>
    <xf numFmtId="49" fontId="80" fillId="38" borderId="11" xfId="0" applyNumberFormat="1" applyFont="1" applyFill="1" applyBorder="1" applyAlignment="1">
      <alignment vertical="center"/>
    </xf>
    <xf numFmtId="49" fontId="80" fillId="38" borderId="12" xfId="0" applyNumberFormat="1" applyFont="1" applyFill="1" applyBorder="1" applyAlignment="1">
      <alignment vertical="center"/>
    </xf>
    <xf numFmtId="49" fontId="80" fillId="38" borderId="13" xfId="0" applyNumberFormat="1" applyFont="1" applyFill="1" applyBorder="1" applyAlignment="1">
      <alignment horizontal="center" vertical="center" shrinkToFit="1"/>
    </xf>
    <xf numFmtId="190" fontId="80" fillId="38" borderId="12" xfId="0" applyNumberFormat="1" applyFont="1" applyFill="1" applyBorder="1" applyAlignment="1">
      <alignment horizontal="left" vertical="center" shrinkToFit="1"/>
    </xf>
    <xf numFmtId="188" fontId="80" fillId="38" borderId="10" xfId="0" applyNumberFormat="1" applyFont="1" applyFill="1" applyBorder="1" applyAlignment="1">
      <alignment horizontal="center" vertical="center" shrinkToFit="1"/>
    </xf>
    <xf numFmtId="187" fontId="80" fillId="38" borderId="10" xfId="0" applyNumberFormat="1" applyFont="1" applyFill="1" applyBorder="1" applyAlignment="1">
      <alignment horizontal="center" vertical="center" shrinkToFit="1"/>
    </xf>
    <xf numFmtId="214" fontId="80" fillId="38" borderId="10" xfId="33" applyNumberFormat="1" applyFont="1" applyFill="1" applyBorder="1" applyAlignment="1">
      <alignment horizontal="right" vertical="center" shrinkToFit="1"/>
    </xf>
    <xf numFmtId="214" fontId="82" fillId="38" borderId="12" xfId="33" applyNumberFormat="1" applyFont="1" applyFill="1" applyBorder="1" applyAlignment="1">
      <alignment horizontal="right" vertical="center" shrinkToFit="1"/>
    </xf>
    <xf numFmtId="224" fontId="89" fillId="38" borderId="12" xfId="0" applyNumberFormat="1" applyFont="1" applyFill="1" applyBorder="1" applyAlignment="1">
      <alignment horizontal="center" vertical="center" shrinkToFit="1"/>
    </xf>
    <xf numFmtId="0" fontId="79" fillId="33" borderId="23" xfId="0" applyFont="1" applyFill="1" applyBorder="1" applyAlignment="1">
      <alignment horizontal="center" vertical="center" shrinkToFit="1"/>
    </xf>
    <xf numFmtId="214" fontId="80" fillId="33" borderId="0" xfId="0" applyNumberFormat="1" applyFont="1" applyFill="1" applyBorder="1" applyAlignment="1">
      <alignment vertical="center" shrinkToFit="1"/>
    </xf>
    <xf numFmtId="208" fontId="4" fillId="33" borderId="0" xfId="0" applyNumberFormat="1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vertical="center" shrinkToFit="1"/>
    </xf>
    <xf numFmtId="0" fontId="82" fillId="33" borderId="0" xfId="0" applyFont="1" applyFill="1" applyBorder="1" applyAlignment="1">
      <alignment horizontal="left" vertical="center" shrinkToFit="1"/>
    </xf>
    <xf numFmtId="224" fontId="80" fillId="38" borderId="17" xfId="0" applyNumberFormat="1" applyFont="1" applyFill="1" applyBorder="1" applyAlignment="1">
      <alignment horizontal="center" vertical="center" shrinkToFit="1"/>
    </xf>
    <xf numFmtId="224" fontId="80" fillId="38" borderId="0" xfId="0" applyNumberFormat="1" applyFont="1" applyFill="1" applyBorder="1" applyAlignment="1">
      <alignment horizontal="center" vertical="center" shrinkToFit="1"/>
    </xf>
    <xf numFmtId="218" fontId="7" fillId="33" borderId="18" xfId="0" applyNumberFormat="1" applyFont="1" applyFill="1" applyBorder="1" applyAlignment="1" quotePrefix="1">
      <alignment horizontal="center" vertical="center" shrinkToFit="1"/>
    </xf>
    <xf numFmtId="218" fontId="7" fillId="33" borderId="18" xfId="0" applyNumberFormat="1" applyFont="1" applyFill="1" applyBorder="1" applyAlignment="1">
      <alignment horizontal="center" vertical="center" shrinkToFi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/>
    </xf>
    <xf numFmtId="218" fontId="3" fillId="33" borderId="0" xfId="0" applyNumberFormat="1" applyFont="1" applyFill="1" applyAlignment="1">
      <alignment horizontal="center" vertical="center" shrinkToFit="1"/>
    </xf>
    <xf numFmtId="218" fontId="3" fillId="33" borderId="0" xfId="0" applyNumberFormat="1" applyFont="1" applyFill="1" applyAlignment="1">
      <alignment horizontal="center" vertical="center"/>
    </xf>
    <xf numFmtId="0" fontId="79" fillId="33" borderId="0" xfId="0" applyFont="1" applyFill="1" applyBorder="1" applyAlignment="1">
      <alignment horizontal="center" vertical="center" shrinkToFit="1"/>
    </xf>
    <xf numFmtId="224" fontId="21" fillId="39" borderId="0" xfId="0" applyNumberFormat="1" applyFont="1" applyFill="1" applyBorder="1" applyAlignment="1">
      <alignment horizontal="center" vertical="center" shrinkToFi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8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E485"/>
  <sheetViews>
    <sheetView tabSelected="1" view="pageBreakPreview" zoomScale="110" zoomScaleSheetLayoutView="110" workbookViewId="0" topLeftCell="A4">
      <selection activeCell="A6" sqref="A6"/>
    </sheetView>
  </sheetViews>
  <sheetFormatPr defaultColWidth="9.140625" defaultRowHeight="12.75"/>
  <cols>
    <col min="1" max="1" width="5.140625" style="445" customWidth="1"/>
    <col min="2" max="2" width="4.57421875" style="42" customWidth="1"/>
    <col min="3" max="3" width="8.57421875" style="42" customWidth="1"/>
    <col min="4" max="4" width="11.57421875" style="42" customWidth="1"/>
    <col min="5" max="5" width="4.8515625" style="47" customWidth="1"/>
    <col min="6" max="6" width="4.7109375" style="48" customWidth="1"/>
    <col min="7" max="7" width="15.7109375" style="49" customWidth="1"/>
    <col min="8" max="8" width="11.57421875" style="50" customWidth="1"/>
    <col min="9" max="9" width="3.7109375" style="51" bestFit="1" customWidth="1"/>
    <col min="10" max="10" width="4.7109375" style="98" customWidth="1"/>
    <col min="11" max="11" width="4.7109375" style="98" bestFit="1" customWidth="1"/>
    <col min="12" max="12" width="16.7109375" style="98" customWidth="1"/>
    <col min="13" max="13" width="5.7109375" style="52" customWidth="1"/>
    <col min="14" max="14" width="7.421875" style="89" hidden="1" customWidth="1"/>
    <col min="15" max="15" width="21.421875" style="47" customWidth="1"/>
    <col min="16" max="16" width="2.7109375" style="42" customWidth="1"/>
    <col min="17" max="17" width="23.57421875" style="101" customWidth="1"/>
    <col min="18" max="22" width="10.57421875" style="101" customWidth="1"/>
    <col min="23" max="23" width="13.140625" style="101" bestFit="1" customWidth="1"/>
    <col min="24" max="24" width="2.7109375" style="42" customWidth="1"/>
    <col min="25" max="16384" width="9.140625" style="42" customWidth="1"/>
  </cols>
  <sheetData>
    <row r="1" spans="1:23" s="1" customFormat="1" ht="23.25">
      <c r="A1" s="486" t="s">
        <v>1518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Q1" s="487" t="s">
        <v>1551</v>
      </c>
      <c r="R1" s="487"/>
      <c r="S1" s="487"/>
      <c r="T1" s="487"/>
      <c r="U1" s="487"/>
      <c r="V1" s="487"/>
      <c r="W1" s="487"/>
    </row>
    <row r="2" spans="1:23" s="1" customFormat="1" ht="23.25">
      <c r="A2" s="486" t="s">
        <v>1196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Q2" s="487" t="s">
        <v>1196</v>
      </c>
      <c r="R2" s="487"/>
      <c r="S2" s="487"/>
      <c r="T2" s="487"/>
      <c r="U2" s="487"/>
      <c r="V2" s="487"/>
      <c r="W2" s="487"/>
    </row>
    <row r="3" spans="1:23" s="1" customFormat="1" ht="23.25">
      <c r="A3" s="488">
        <v>241122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Q3" s="317">
        <f>A3</f>
        <v>241122</v>
      </c>
      <c r="R3" s="317"/>
      <c r="S3" s="317"/>
      <c r="T3" s="317"/>
      <c r="U3" s="317"/>
      <c r="V3" s="317"/>
      <c r="W3" s="317"/>
    </row>
    <row r="4" spans="1:23" s="4" customFormat="1" ht="16.5" customHeight="1">
      <c r="A4" s="445"/>
      <c r="B4" s="3"/>
      <c r="F4" s="5"/>
      <c r="J4" s="91"/>
      <c r="K4" s="91"/>
      <c r="L4" s="91"/>
      <c r="M4" s="6"/>
      <c r="N4" s="6"/>
      <c r="O4" s="52"/>
      <c r="Q4" s="483" t="s">
        <v>17</v>
      </c>
      <c r="R4" s="484"/>
      <c r="S4" s="484"/>
      <c r="T4" s="484"/>
      <c r="U4" s="484"/>
      <c r="V4" s="484"/>
      <c r="W4" s="484"/>
    </row>
    <row r="5" spans="1:24" s="1" customFormat="1" ht="54">
      <c r="A5" s="443" t="s">
        <v>10</v>
      </c>
      <c r="B5" s="485" t="s">
        <v>11</v>
      </c>
      <c r="C5" s="485"/>
      <c r="D5" s="485"/>
      <c r="E5" s="485" t="s">
        <v>12</v>
      </c>
      <c r="F5" s="485"/>
      <c r="G5" s="8" t="s">
        <v>19</v>
      </c>
      <c r="H5" s="8" t="s">
        <v>24</v>
      </c>
      <c r="I5" s="8" t="s">
        <v>14</v>
      </c>
      <c r="J5" s="444" t="s">
        <v>13</v>
      </c>
      <c r="K5" s="444" t="s">
        <v>26</v>
      </c>
      <c r="L5" s="444" t="s">
        <v>27</v>
      </c>
      <c r="M5" s="10" t="s">
        <v>18</v>
      </c>
      <c r="N5" s="10"/>
      <c r="O5" s="10" t="s">
        <v>20</v>
      </c>
      <c r="P5" s="13"/>
      <c r="Q5" s="14" t="s">
        <v>21</v>
      </c>
      <c r="R5" s="15" t="s">
        <v>5</v>
      </c>
      <c r="S5" s="16" t="s">
        <v>3</v>
      </c>
      <c r="T5" s="15" t="s">
        <v>4</v>
      </c>
      <c r="U5" s="15" t="s">
        <v>6</v>
      </c>
      <c r="V5" s="17" t="s">
        <v>15</v>
      </c>
      <c r="W5" s="18" t="s">
        <v>16</v>
      </c>
      <c r="X5" s="19"/>
    </row>
    <row r="6" spans="1:23" s="1" customFormat="1" ht="23.25">
      <c r="A6" s="446">
        <v>1</v>
      </c>
      <c r="B6" s="358" t="s">
        <v>32</v>
      </c>
      <c r="C6" s="359" t="s">
        <v>273</v>
      </c>
      <c r="D6" s="360" t="s">
        <v>274</v>
      </c>
      <c r="E6" s="361" t="s">
        <v>183</v>
      </c>
      <c r="F6" s="362">
        <v>1</v>
      </c>
      <c r="G6" s="363">
        <v>3730600578265</v>
      </c>
      <c r="H6" s="364">
        <v>215589</v>
      </c>
      <c r="I6" s="307">
        <f aca="true" t="shared" si="0" ref="I6:I25">DATEDIF(H6,$S$20,"Y")</f>
        <v>69</v>
      </c>
      <c r="J6" s="306">
        <f aca="true" t="shared" si="1" ref="J6:J25">DATEDIF(H6,$S$20,"YM")</f>
        <v>5</v>
      </c>
      <c r="K6" s="306">
        <f aca="true" t="shared" si="2" ref="K6:K25">DATEDIF(H6,$S$20,"MD")</f>
        <v>26</v>
      </c>
      <c r="L6" s="306" t="str">
        <f aca="true" t="shared" si="3" ref="L6:L25">I6&amp;" ปี  "&amp;J6&amp;" เดือน  "&amp;K6&amp;" วัน"</f>
        <v>69 ปี  5 เดือน  26 วัน</v>
      </c>
      <c r="M6" s="365">
        <f aca="true" t="shared" si="4" ref="M6:M25">IF(I6&lt;=69,600,IF(I6&lt;=79,700,IF(I6&lt;=89,800,IF(I6&gt;=90,1000))))</f>
        <v>600</v>
      </c>
      <c r="N6" s="365"/>
      <c r="O6" s="366"/>
      <c r="P6" s="31"/>
      <c r="Q6" s="32">
        <v>1</v>
      </c>
      <c r="R6" s="33">
        <f>V22</f>
        <v>219</v>
      </c>
      <c r="S6" s="34">
        <f>V23</f>
        <v>0</v>
      </c>
      <c r="T6" s="33">
        <f>V24</f>
        <v>0</v>
      </c>
      <c r="U6" s="33">
        <f>V25</f>
        <v>0</v>
      </c>
      <c r="V6" s="33">
        <f>V26</f>
        <v>219</v>
      </c>
      <c r="W6" s="35">
        <f aca="true" t="shared" si="5" ref="W6:W11">(R6*600)+(S6*700)+(T6*800)+(U6*1000)</f>
        <v>131400</v>
      </c>
    </row>
    <row r="7" spans="1:23" s="1" customFormat="1" ht="23.25">
      <c r="A7" s="446">
        <v>2</v>
      </c>
      <c r="B7" s="358" t="s">
        <v>31</v>
      </c>
      <c r="C7" s="359" t="s">
        <v>168</v>
      </c>
      <c r="D7" s="360" t="s">
        <v>275</v>
      </c>
      <c r="E7" s="361" t="s">
        <v>276</v>
      </c>
      <c r="F7" s="362">
        <v>1</v>
      </c>
      <c r="G7" s="363">
        <v>3730600575088</v>
      </c>
      <c r="H7" s="364">
        <v>215496</v>
      </c>
      <c r="I7" s="307">
        <f t="shared" si="0"/>
        <v>69</v>
      </c>
      <c r="J7" s="306">
        <f t="shared" si="1"/>
        <v>8</v>
      </c>
      <c r="K7" s="306">
        <f t="shared" si="2"/>
        <v>29</v>
      </c>
      <c r="L7" s="306" t="str">
        <f t="shared" si="3"/>
        <v>69 ปี  8 เดือน  29 วัน</v>
      </c>
      <c r="M7" s="365">
        <f t="shared" si="4"/>
        <v>600</v>
      </c>
      <c r="N7" s="365"/>
      <c r="O7" s="366"/>
      <c r="P7" s="31"/>
      <c r="Q7" s="36">
        <v>2</v>
      </c>
      <c r="R7" s="33">
        <f>W42</f>
        <v>70</v>
      </c>
      <c r="S7" s="34">
        <f>W43</f>
        <v>0</v>
      </c>
      <c r="T7" s="33">
        <f>W44</f>
        <v>0</v>
      </c>
      <c r="U7" s="34">
        <f>W45</f>
        <v>0</v>
      </c>
      <c r="V7" s="33">
        <f>W46</f>
        <v>70</v>
      </c>
      <c r="W7" s="37">
        <f t="shared" si="5"/>
        <v>42000</v>
      </c>
    </row>
    <row r="8" spans="1:23" s="1" customFormat="1" ht="23.25">
      <c r="A8" s="446">
        <v>3</v>
      </c>
      <c r="B8" s="358" t="s">
        <v>31</v>
      </c>
      <c r="C8" s="359" t="s">
        <v>171</v>
      </c>
      <c r="D8" s="360" t="s">
        <v>279</v>
      </c>
      <c r="E8" s="361" t="s">
        <v>103</v>
      </c>
      <c r="F8" s="362">
        <v>1</v>
      </c>
      <c r="G8" s="363">
        <v>3730600575550</v>
      </c>
      <c r="H8" s="364">
        <v>215496</v>
      </c>
      <c r="I8" s="307">
        <f t="shared" si="0"/>
        <v>69</v>
      </c>
      <c r="J8" s="306">
        <f t="shared" si="1"/>
        <v>8</v>
      </c>
      <c r="K8" s="306">
        <f t="shared" si="2"/>
        <v>29</v>
      </c>
      <c r="L8" s="306" t="str">
        <f t="shared" si="3"/>
        <v>69 ปี  8 เดือน  29 วัน</v>
      </c>
      <c r="M8" s="365">
        <f t="shared" si="4"/>
        <v>600</v>
      </c>
      <c r="N8" s="365"/>
      <c r="O8" s="367"/>
      <c r="P8" s="31"/>
      <c r="Q8" s="36">
        <v>3</v>
      </c>
      <c r="R8" s="33">
        <f>W56</f>
        <v>44</v>
      </c>
      <c r="S8" s="33">
        <f>V316</f>
        <v>0</v>
      </c>
      <c r="T8" s="33">
        <f>V317</f>
        <v>0</v>
      </c>
      <c r="U8" s="33">
        <f>V318</f>
        <v>0</v>
      </c>
      <c r="V8" s="33">
        <f>W60</f>
        <v>44</v>
      </c>
      <c r="W8" s="37">
        <f t="shared" si="5"/>
        <v>26400</v>
      </c>
    </row>
    <row r="9" spans="1:23" s="1" customFormat="1" ht="23.25">
      <c r="A9" s="446">
        <v>4</v>
      </c>
      <c r="B9" s="368" t="s">
        <v>32</v>
      </c>
      <c r="C9" s="369" t="s">
        <v>173</v>
      </c>
      <c r="D9" s="370" t="s">
        <v>280</v>
      </c>
      <c r="E9" s="371" t="s">
        <v>281</v>
      </c>
      <c r="F9" s="372">
        <v>1</v>
      </c>
      <c r="G9" s="373">
        <v>3730600576271</v>
      </c>
      <c r="H9" s="374">
        <v>215861</v>
      </c>
      <c r="I9" s="375">
        <f t="shared" si="0"/>
        <v>68</v>
      </c>
      <c r="J9" s="376">
        <f t="shared" si="1"/>
        <v>8</v>
      </c>
      <c r="K9" s="376">
        <f t="shared" si="2"/>
        <v>29</v>
      </c>
      <c r="L9" s="376" t="str">
        <f t="shared" si="3"/>
        <v>68 ปี  8 เดือน  29 วัน</v>
      </c>
      <c r="M9" s="377">
        <f t="shared" si="4"/>
        <v>600</v>
      </c>
      <c r="N9" s="377"/>
      <c r="O9" s="378"/>
      <c r="P9" s="31"/>
      <c r="Q9" s="36">
        <v>4</v>
      </c>
      <c r="R9" s="33">
        <f>W70</f>
        <v>22</v>
      </c>
      <c r="S9" s="33">
        <f>V363</f>
        <v>0</v>
      </c>
      <c r="T9" s="33">
        <f>V364</f>
        <v>0</v>
      </c>
      <c r="U9" s="33">
        <f>V365</f>
        <v>0</v>
      </c>
      <c r="V9" s="33">
        <f>W74</f>
        <v>22</v>
      </c>
      <c r="W9" s="37">
        <f t="shared" si="5"/>
        <v>13200</v>
      </c>
    </row>
    <row r="10" spans="1:23" s="1" customFormat="1" ht="23.25">
      <c r="A10" s="446">
        <v>5</v>
      </c>
      <c r="B10" s="358" t="s">
        <v>30</v>
      </c>
      <c r="C10" s="359" t="s">
        <v>155</v>
      </c>
      <c r="D10" s="360" t="s">
        <v>282</v>
      </c>
      <c r="E10" s="361" t="s">
        <v>283</v>
      </c>
      <c r="F10" s="362">
        <v>1</v>
      </c>
      <c r="G10" s="363">
        <v>3730600576335</v>
      </c>
      <c r="H10" s="364">
        <v>215909</v>
      </c>
      <c r="I10" s="307">
        <f t="shared" si="0"/>
        <v>68</v>
      </c>
      <c r="J10" s="306">
        <f t="shared" si="1"/>
        <v>7</v>
      </c>
      <c r="K10" s="306">
        <f t="shared" si="2"/>
        <v>12</v>
      </c>
      <c r="L10" s="306" t="str">
        <f t="shared" si="3"/>
        <v>68 ปี  7 เดือน  12 วัน</v>
      </c>
      <c r="M10" s="365">
        <f t="shared" si="4"/>
        <v>600</v>
      </c>
      <c r="N10" s="365"/>
      <c r="O10" s="367"/>
      <c r="P10" s="31"/>
      <c r="Q10" s="36">
        <v>5</v>
      </c>
      <c r="R10" s="33">
        <f>W84</f>
        <v>53</v>
      </c>
      <c r="S10" s="33">
        <f>V364</f>
        <v>0</v>
      </c>
      <c r="T10" s="33">
        <f>V365</f>
        <v>0</v>
      </c>
      <c r="U10" s="33">
        <v>0</v>
      </c>
      <c r="V10" s="33">
        <f>W88</f>
        <v>53</v>
      </c>
      <c r="W10" s="37">
        <f t="shared" si="5"/>
        <v>31800</v>
      </c>
    </row>
    <row r="11" spans="1:23" s="1" customFormat="1" ht="23.25">
      <c r="A11" s="446">
        <v>6</v>
      </c>
      <c r="B11" s="358" t="s">
        <v>30</v>
      </c>
      <c r="C11" s="359" t="s">
        <v>295</v>
      </c>
      <c r="D11" s="360" t="s">
        <v>287</v>
      </c>
      <c r="E11" s="361" t="s">
        <v>288</v>
      </c>
      <c r="F11" s="362">
        <v>1</v>
      </c>
      <c r="G11" s="363">
        <v>3730600579385</v>
      </c>
      <c r="H11" s="364">
        <v>216199</v>
      </c>
      <c r="I11" s="307">
        <f t="shared" si="0"/>
        <v>67</v>
      </c>
      <c r="J11" s="306">
        <f t="shared" si="1"/>
        <v>9</v>
      </c>
      <c r="K11" s="306">
        <f t="shared" si="2"/>
        <v>25</v>
      </c>
      <c r="L11" s="306" t="str">
        <f t="shared" si="3"/>
        <v>67 ปี  9 เดือน  25 วัน</v>
      </c>
      <c r="M11" s="365">
        <f t="shared" si="4"/>
        <v>600</v>
      </c>
      <c r="N11" s="365"/>
      <c r="O11" s="367"/>
      <c r="P11" s="31"/>
      <c r="Q11" s="36">
        <v>6</v>
      </c>
      <c r="R11" s="33">
        <f>$W98</f>
        <v>38</v>
      </c>
      <c r="S11" s="33">
        <f>V365</f>
        <v>0</v>
      </c>
      <c r="T11" s="33">
        <v>0</v>
      </c>
      <c r="U11" s="33">
        <f>V367</f>
        <v>0</v>
      </c>
      <c r="V11" s="33">
        <f>$W102</f>
        <v>38</v>
      </c>
      <c r="W11" s="37">
        <f t="shared" si="5"/>
        <v>22800</v>
      </c>
    </row>
    <row r="12" spans="1:23" s="1" customFormat="1" ht="23.25">
      <c r="A12" s="446">
        <v>7</v>
      </c>
      <c r="B12" s="358" t="s">
        <v>30</v>
      </c>
      <c r="C12" s="359" t="s">
        <v>292</v>
      </c>
      <c r="D12" s="360" t="s">
        <v>293</v>
      </c>
      <c r="E12" s="361" t="s">
        <v>294</v>
      </c>
      <c r="F12" s="362">
        <v>1</v>
      </c>
      <c r="G12" s="363">
        <v>3730600579474</v>
      </c>
      <c r="H12" s="364">
        <v>216179</v>
      </c>
      <c r="I12" s="307">
        <f t="shared" si="0"/>
        <v>67</v>
      </c>
      <c r="J12" s="306">
        <f t="shared" si="1"/>
        <v>10</v>
      </c>
      <c r="K12" s="306">
        <f t="shared" si="2"/>
        <v>15</v>
      </c>
      <c r="L12" s="306" t="str">
        <f t="shared" si="3"/>
        <v>67 ปี  10 เดือน  15 วัน</v>
      </c>
      <c r="M12" s="365">
        <f t="shared" si="4"/>
        <v>600</v>
      </c>
      <c r="N12" s="365"/>
      <c r="O12" s="379"/>
      <c r="P12" s="31"/>
      <c r="Q12" s="36"/>
      <c r="R12" s="33"/>
      <c r="S12" s="34"/>
      <c r="T12" s="33"/>
      <c r="U12" s="33"/>
      <c r="V12" s="33"/>
      <c r="W12" s="37"/>
    </row>
    <row r="13" spans="1:23" s="1" customFormat="1" ht="23.25">
      <c r="A13" s="446">
        <v>8</v>
      </c>
      <c r="B13" s="358" t="s">
        <v>32</v>
      </c>
      <c r="C13" s="380" t="s">
        <v>221</v>
      </c>
      <c r="D13" s="381" t="s">
        <v>301</v>
      </c>
      <c r="E13" s="361" t="s">
        <v>122</v>
      </c>
      <c r="F13" s="362">
        <v>1</v>
      </c>
      <c r="G13" s="363">
        <v>3730600580014</v>
      </c>
      <c r="H13" s="364">
        <v>216228</v>
      </c>
      <c r="I13" s="307">
        <f t="shared" si="0"/>
        <v>67</v>
      </c>
      <c r="J13" s="306">
        <f t="shared" si="1"/>
        <v>8</v>
      </c>
      <c r="K13" s="306">
        <f t="shared" si="2"/>
        <v>27</v>
      </c>
      <c r="L13" s="306" t="str">
        <f t="shared" si="3"/>
        <v>67 ปี  8 เดือน  27 วัน</v>
      </c>
      <c r="M13" s="365">
        <f t="shared" si="4"/>
        <v>600</v>
      </c>
      <c r="N13" s="365"/>
      <c r="O13" s="367"/>
      <c r="P13" s="31"/>
      <c r="Q13" s="36"/>
      <c r="R13" s="33"/>
      <c r="S13" s="34"/>
      <c r="T13" s="33"/>
      <c r="U13" s="33"/>
      <c r="V13" s="33"/>
      <c r="W13" s="37"/>
    </row>
    <row r="14" spans="1:23" s="1" customFormat="1" ht="23.25">
      <c r="A14" s="446">
        <v>9</v>
      </c>
      <c r="B14" s="358" t="s">
        <v>31</v>
      </c>
      <c r="C14" s="359" t="s">
        <v>307</v>
      </c>
      <c r="D14" s="360" t="s">
        <v>123</v>
      </c>
      <c r="E14" s="361" t="s">
        <v>308</v>
      </c>
      <c r="F14" s="362">
        <v>1</v>
      </c>
      <c r="G14" s="363">
        <v>3730600581410</v>
      </c>
      <c r="H14" s="364">
        <v>216263</v>
      </c>
      <c r="I14" s="307">
        <f t="shared" si="0"/>
        <v>67</v>
      </c>
      <c r="J14" s="306">
        <f t="shared" si="1"/>
        <v>7</v>
      </c>
      <c r="K14" s="306">
        <f t="shared" si="2"/>
        <v>23</v>
      </c>
      <c r="L14" s="306" t="str">
        <f t="shared" si="3"/>
        <v>67 ปี  7 เดือน  23 วัน</v>
      </c>
      <c r="M14" s="365">
        <f t="shared" si="4"/>
        <v>600</v>
      </c>
      <c r="N14" s="365"/>
      <c r="O14" s="379"/>
      <c r="P14" s="31"/>
      <c r="Q14" s="36"/>
      <c r="R14" s="33"/>
      <c r="S14" s="34"/>
      <c r="T14" s="33"/>
      <c r="U14" s="33"/>
      <c r="V14" s="33"/>
      <c r="W14" s="37"/>
    </row>
    <row r="15" spans="1:23" s="1" customFormat="1" ht="23.25">
      <c r="A15" s="446">
        <v>10</v>
      </c>
      <c r="B15" s="358" t="s">
        <v>31</v>
      </c>
      <c r="C15" s="359" t="s">
        <v>309</v>
      </c>
      <c r="D15" s="360" t="s">
        <v>310</v>
      </c>
      <c r="E15" s="361" t="s">
        <v>311</v>
      </c>
      <c r="F15" s="362">
        <v>1</v>
      </c>
      <c r="G15" s="363">
        <v>3341900644969</v>
      </c>
      <c r="H15" s="364">
        <v>216226</v>
      </c>
      <c r="I15" s="307">
        <f t="shared" si="0"/>
        <v>67</v>
      </c>
      <c r="J15" s="306">
        <f t="shared" si="1"/>
        <v>8</v>
      </c>
      <c r="K15" s="306">
        <f t="shared" si="2"/>
        <v>29</v>
      </c>
      <c r="L15" s="306" t="str">
        <f t="shared" si="3"/>
        <v>67 ปี  8 เดือน  29 วัน</v>
      </c>
      <c r="M15" s="365">
        <f t="shared" si="4"/>
        <v>600</v>
      </c>
      <c r="N15" s="365"/>
      <c r="O15" s="367"/>
      <c r="P15" s="31"/>
      <c r="Q15" s="36"/>
      <c r="R15" s="33"/>
      <c r="S15" s="33"/>
      <c r="T15" s="33"/>
      <c r="U15" s="33"/>
      <c r="V15" s="33"/>
      <c r="W15" s="37"/>
    </row>
    <row r="16" spans="1:23" s="1" customFormat="1" ht="23.25">
      <c r="A16" s="446">
        <v>11</v>
      </c>
      <c r="B16" s="358" t="s">
        <v>30</v>
      </c>
      <c r="C16" s="380" t="s">
        <v>91</v>
      </c>
      <c r="D16" s="381" t="s">
        <v>284</v>
      </c>
      <c r="E16" s="361" t="s">
        <v>105</v>
      </c>
      <c r="F16" s="362">
        <v>1</v>
      </c>
      <c r="G16" s="363">
        <v>3730600576408</v>
      </c>
      <c r="H16" s="364">
        <v>215861</v>
      </c>
      <c r="I16" s="307">
        <f t="shared" si="0"/>
        <v>68</v>
      </c>
      <c r="J16" s="306">
        <f t="shared" si="1"/>
        <v>8</v>
      </c>
      <c r="K16" s="306">
        <f t="shared" si="2"/>
        <v>29</v>
      </c>
      <c r="L16" s="306" t="str">
        <f t="shared" si="3"/>
        <v>68 ปี  8 เดือน  29 วัน</v>
      </c>
      <c r="M16" s="365">
        <f t="shared" si="4"/>
        <v>600</v>
      </c>
      <c r="N16" s="365"/>
      <c r="O16" s="367"/>
      <c r="P16" s="31"/>
      <c r="Q16" s="36"/>
      <c r="R16" s="33"/>
      <c r="S16" s="33"/>
      <c r="T16" s="33"/>
      <c r="U16" s="33"/>
      <c r="V16" s="33"/>
      <c r="W16" s="37"/>
    </row>
    <row r="17" spans="1:24" s="19" customFormat="1" ht="26.25">
      <c r="A17" s="446">
        <v>12</v>
      </c>
      <c r="B17" s="358" t="s">
        <v>32</v>
      </c>
      <c r="C17" s="359" t="s">
        <v>317</v>
      </c>
      <c r="D17" s="360" t="s">
        <v>285</v>
      </c>
      <c r="E17" s="361" t="s">
        <v>286</v>
      </c>
      <c r="F17" s="362">
        <v>1</v>
      </c>
      <c r="G17" s="363">
        <v>3730600577447</v>
      </c>
      <c r="H17" s="364">
        <v>216226</v>
      </c>
      <c r="I17" s="307">
        <f t="shared" si="0"/>
        <v>67</v>
      </c>
      <c r="J17" s="306">
        <f t="shared" si="1"/>
        <v>8</v>
      </c>
      <c r="K17" s="306">
        <f t="shared" si="2"/>
        <v>29</v>
      </c>
      <c r="L17" s="306" t="str">
        <f t="shared" si="3"/>
        <v>67 ปี  8 เดือน  29 วัน</v>
      </c>
      <c r="M17" s="365">
        <f t="shared" si="4"/>
        <v>600</v>
      </c>
      <c r="N17" s="365"/>
      <c r="O17" s="367"/>
      <c r="P17" s="31"/>
      <c r="Q17" s="36"/>
      <c r="R17" s="33"/>
      <c r="S17" s="33"/>
      <c r="T17" s="33"/>
      <c r="U17" s="33"/>
      <c r="V17" s="33"/>
      <c r="W17" s="37"/>
      <c r="X17" s="1"/>
    </row>
    <row r="18" spans="1:24" ht="23.25">
      <c r="A18" s="446">
        <v>13</v>
      </c>
      <c r="B18" s="358" t="s">
        <v>32</v>
      </c>
      <c r="C18" s="359" t="s">
        <v>47</v>
      </c>
      <c r="D18" s="360" t="s">
        <v>298</v>
      </c>
      <c r="E18" s="361" t="s">
        <v>114</v>
      </c>
      <c r="F18" s="362">
        <v>1</v>
      </c>
      <c r="G18" s="363">
        <v>3730600579547</v>
      </c>
      <c r="H18" s="364">
        <v>215708</v>
      </c>
      <c r="I18" s="307">
        <f t="shared" si="0"/>
        <v>69</v>
      </c>
      <c r="J18" s="306">
        <f t="shared" si="1"/>
        <v>1</v>
      </c>
      <c r="K18" s="306">
        <f t="shared" si="2"/>
        <v>29</v>
      </c>
      <c r="L18" s="306" t="str">
        <f t="shared" si="3"/>
        <v>69 ปี  1 เดือน  29 วัน</v>
      </c>
      <c r="M18" s="365">
        <f t="shared" si="4"/>
        <v>600</v>
      </c>
      <c r="N18" s="365"/>
      <c r="O18" s="367"/>
      <c r="P18" s="31"/>
      <c r="Q18" s="40"/>
      <c r="R18" s="33"/>
      <c r="S18" s="33"/>
      <c r="T18" s="33"/>
      <c r="U18" s="33"/>
      <c r="V18" s="33"/>
      <c r="W18" s="41"/>
      <c r="X18" s="1"/>
    </row>
    <row r="19" spans="1:24" ht="27" thickBot="1">
      <c r="A19" s="446">
        <v>14</v>
      </c>
      <c r="B19" s="358" t="s">
        <v>32</v>
      </c>
      <c r="C19" s="380" t="s">
        <v>318</v>
      </c>
      <c r="D19" s="381" t="s">
        <v>319</v>
      </c>
      <c r="E19" s="361" t="s">
        <v>124</v>
      </c>
      <c r="F19" s="362">
        <v>1</v>
      </c>
      <c r="G19" s="363">
        <v>3730600580189</v>
      </c>
      <c r="H19" s="364">
        <v>216188</v>
      </c>
      <c r="I19" s="307">
        <f t="shared" si="0"/>
        <v>67</v>
      </c>
      <c r="J19" s="306">
        <f t="shared" si="1"/>
        <v>10</v>
      </c>
      <c r="K19" s="306">
        <f t="shared" si="2"/>
        <v>6</v>
      </c>
      <c r="L19" s="306" t="str">
        <f t="shared" si="3"/>
        <v>67 ปี  10 เดือน  6 วัน</v>
      </c>
      <c r="M19" s="365">
        <f t="shared" si="4"/>
        <v>600</v>
      </c>
      <c r="N19" s="365"/>
      <c r="O19" s="367"/>
      <c r="P19" s="13"/>
      <c r="Q19" s="43" t="s">
        <v>23</v>
      </c>
      <c r="R19" s="44">
        <f aca="true" t="shared" si="6" ref="R19:W19">SUM(R6:R18)</f>
        <v>446</v>
      </c>
      <c r="S19" s="44">
        <f t="shared" si="6"/>
        <v>0</v>
      </c>
      <c r="T19" s="44">
        <f t="shared" si="6"/>
        <v>0</v>
      </c>
      <c r="U19" s="44">
        <f t="shared" si="6"/>
        <v>0</v>
      </c>
      <c r="V19" s="44">
        <f t="shared" si="6"/>
        <v>446</v>
      </c>
      <c r="W19" s="45">
        <f t="shared" si="6"/>
        <v>267600</v>
      </c>
      <c r="X19" s="19"/>
    </row>
    <row r="20" spans="1:24" ht="27" thickTop="1">
      <c r="A20" s="446">
        <v>15</v>
      </c>
      <c r="B20" s="358" t="s">
        <v>31</v>
      </c>
      <c r="C20" s="359" t="s">
        <v>170</v>
      </c>
      <c r="D20" s="360" t="s">
        <v>320</v>
      </c>
      <c r="E20" s="361" t="s">
        <v>74</v>
      </c>
      <c r="F20" s="362">
        <v>1</v>
      </c>
      <c r="G20" s="363">
        <v>3730300928805</v>
      </c>
      <c r="H20" s="364">
        <v>216226</v>
      </c>
      <c r="I20" s="307">
        <f t="shared" si="0"/>
        <v>67</v>
      </c>
      <c r="J20" s="306">
        <f t="shared" si="1"/>
        <v>8</v>
      </c>
      <c r="K20" s="306">
        <f t="shared" si="2"/>
        <v>29</v>
      </c>
      <c r="L20" s="306" t="str">
        <f t="shared" si="3"/>
        <v>67 ปี  8 เดือน  29 วัน</v>
      </c>
      <c r="M20" s="365">
        <f t="shared" si="4"/>
        <v>600</v>
      </c>
      <c r="N20" s="365"/>
      <c r="O20" s="379"/>
      <c r="Q20" s="100" t="s">
        <v>28</v>
      </c>
      <c r="S20" s="99">
        <v>240969</v>
      </c>
      <c r="T20" s="102"/>
      <c r="U20" s="102"/>
      <c r="V20" s="102"/>
      <c r="W20" s="103"/>
      <c r="X20" s="46"/>
    </row>
    <row r="21" spans="1:31" ht="21">
      <c r="A21" s="446">
        <v>16</v>
      </c>
      <c r="B21" s="358" t="s">
        <v>30</v>
      </c>
      <c r="C21" s="359" t="s">
        <v>321</v>
      </c>
      <c r="D21" s="360" t="s">
        <v>322</v>
      </c>
      <c r="E21" s="361" t="s">
        <v>323</v>
      </c>
      <c r="F21" s="362">
        <v>1</v>
      </c>
      <c r="G21" s="363">
        <v>3100700483920</v>
      </c>
      <c r="H21" s="364">
        <v>215470</v>
      </c>
      <c r="I21" s="307">
        <f t="shared" si="0"/>
        <v>69</v>
      </c>
      <c r="J21" s="306">
        <f t="shared" si="1"/>
        <v>9</v>
      </c>
      <c r="K21" s="306">
        <f t="shared" si="2"/>
        <v>24</v>
      </c>
      <c r="L21" s="306" t="str">
        <f t="shared" si="3"/>
        <v>69 ปี  9 เดือน  24 วัน</v>
      </c>
      <c r="M21" s="365">
        <f t="shared" si="4"/>
        <v>600</v>
      </c>
      <c r="N21" s="365"/>
      <c r="O21" s="367"/>
      <c r="Q21" s="104"/>
      <c r="R21" s="93" t="s">
        <v>0</v>
      </c>
      <c r="S21" s="93" t="s">
        <v>22</v>
      </c>
      <c r="T21" s="105"/>
      <c r="U21" s="113" t="s">
        <v>1</v>
      </c>
      <c r="V21" s="113" t="s">
        <v>22</v>
      </c>
      <c r="W21" s="106"/>
      <c r="X21" s="51"/>
      <c r="Y21" s="51"/>
      <c r="Z21" s="51"/>
      <c r="AA21" s="51"/>
      <c r="AB21" s="52"/>
      <c r="AC21" s="52"/>
      <c r="AD21" s="52"/>
      <c r="AE21" s="51"/>
    </row>
    <row r="22" spans="1:31" ht="21">
      <c r="A22" s="446">
        <v>17</v>
      </c>
      <c r="B22" s="358" t="s">
        <v>30</v>
      </c>
      <c r="C22" s="359" t="s">
        <v>324</v>
      </c>
      <c r="D22" s="360" t="s">
        <v>325</v>
      </c>
      <c r="E22" s="361" t="s">
        <v>326</v>
      </c>
      <c r="F22" s="362">
        <v>1</v>
      </c>
      <c r="G22" s="363">
        <v>3101701451062</v>
      </c>
      <c r="H22" s="364">
        <v>215553</v>
      </c>
      <c r="I22" s="307">
        <f t="shared" si="0"/>
        <v>69</v>
      </c>
      <c r="J22" s="306">
        <f t="shared" si="1"/>
        <v>7</v>
      </c>
      <c r="K22" s="306">
        <f t="shared" si="2"/>
        <v>3</v>
      </c>
      <c r="L22" s="306" t="str">
        <f t="shared" si="3"/>
        <v>69 ปี  7 เดือน  3 วัน</v>
      </c>
      <c r="M22" s="365">
        <f t="shared" si="4"/>
        <v>600</v>
      </c>
      <c r="N22" s="365"/>
      <c r="O22" s="379"/>
      <c r="R22" s="234">
        <v>60</v>
      </c>
      <c r="S22" s="93">
        <f>COUNTIF(I6:I227,"60")</f>
        <v>37</v>
      </c>
      <c r="T22" s="105"/>
      <c r="U22" s="115" t="s">
        <v>2</v>
      </c>
      <c r="V22" s="93">
        <f>SUM(S22:S31)</f>
        <v>219</v>
      </c>
      <c r="W22" s="106"/>
      <c r="X22" s="51"/>
      <c r="Y22" s="51"/>
      <c r="Z22" s="51"/>
      <c r="AA22" s="51"/>
      <c r="AB22" s="52"/>
      <c r="AC22" s="52"/>
      <c r="AD22" s="52"/>
      <c r="AE22" s="51"/>
    </row>
    <row r="23" spans="1:31" ht="21">
      <c r="A23" s="446">
        <v>18</v>
      </c>
      <c r="B23" s="358" t="s">
        <v>32</v>
      </c>
      <c r="C23" s="359" t="s">
        <v>327</v>
      </c>
      <c r="D23" s="360" t="s">
        <v>328</v>
      </c>
      <c r="E23" s="361" t="s">
        <v>329</v>
      </c>
      <c r="F23" s="362">
        <v>1</v>
      </c>
      <c r="G23" s="363">
        <v>3100100643616</v>
      </c>
      <c r="H23" s="364">
        <v>216199</v>
      </c>
      <c r="I23" s="307">
        <f t="shared" si="0"/>
        <v>67</v>
      </c>
      <c r="J23" s="306">
        <f t="shared" si="1"/>
        <v>9</v>
      </c>
      <c r="K23" s="306">
        <f t="shared" si="2"/>
        <v>25</v>
      </c>
      <c r="L23" s="306" t="str">
        <f t="shared" si="3"/>
        <v>67 ปี  9 เดือน  25 วัน</v>
      </c>
      <c r="M23" s="365">
        <f t="shared" si="4"/>
        <v>600</v>
      </c>
      <c r="N23" s="365"/>
      <c r="O23" s="367"/>
      <c r="R23" s="234">
        <v>61</v>
      </c>
      <c r="S23" s="93">
        <f>COUNTIF(I6:I227,"61")</f>
        <v>32</v>
      </c>
      <c r="T23" s="105"/>
      <c r="U23" s="115" t="s">
        <v>7</v>
      </c>
      <c r="V23" s="93">
        <v>0</v>
      </c>
      <c r="W23" s="106" t="s">
        <v>1199</v>
      </c>
      <c r="X23" s="51"/>
      <c r="Y23" s="51"/>
      <c r="Z23" s="51"/>
      <c r="AA23" s="51"/>
      <c r="AB23" s="52"/>
      <c r="AC23" s="52"/>
      <c r="AD23" s="52"/>
      <c r="AE23" s="51"/>
    </row>
    <row r="24" spans="1:23" ht="21">
      <c r="A24" s="446">
        <v>19</v>
      </c>
      <c r="B24" s="358" t="s">
        <v>30</v>
      </c>
      <c r="C24" s="359" t="s">
        <v>330</v>
      </c>
      <c r="D24" s="360" t="s">
        <v>331</v>
      </c>
      <c r="E24" s="361" t="s">
        <v>332</v>
      </c>
      <c r="F24" s="362">
        <v>1</v>
      </c>
      <c r="G24" s="363">
        <v>3102001418586</v>
      </c>
      <c r="H24" s="364">
        <v>215861</v>
      </c>
      <c r="I24" s="307">
        <f t="shared" si="0"/>
        <v>68</v>
      </c>
      <c r="J24" s="306">
        <f t="shared" si="1"/>
        <v>8</v>
      </c>
      <c r="K24" s="306">
        <f t="shared" si="2"/>
        <v>29</v>
      </c>
      <c r="L24" s="306" t="str">
        <f t="shared" si="3"/>
        <v>68 ปี  8 เดือน  29 วัน</v>
      </c>
      <c r="M24" s="365">
        <f t="shared" si="4"/>
        <v>600</v>
      </c>
      <c r="N24" s="365"/>
      <c r="O24" s="379"/>
      <c r="Q24" s="107"/>
      <c r="R24" s="234">
        <v>62</v>
      </c>
      <c r="S24" s="93">
        <f>COUNTIF(I6:I227,"62")</f>
        <v>25</v>
      </c>
      <c r="T24" s="108"/>
      <c r="U24" s="115" t="s">
        <v>8</v>
      </c>
      <c r="V24" s="93">
        <f>SUM(S40:S40)</f>
        <v>0</v>
      </c>
      <c r="W24" s="109"/>
    </row>
    <row r="25" spans="1:23" ht="21">
      <c r="A25" s="446">
        <v>20</v>
      </c>
      <c r="B25" s="358" t="s">
        <v>30</v>
      </c>
      <c r="C25" s="359" t="s">
        <v>333</v>
      </c>
      <c r="D25" s="360" t="s">
        <v>334</v>
      </c>
      <c r="E25" s="361" t="s">
        <v>335</v>
      </c>
      <c r="F25" s="362">
        <v>1</v>
      </c>
      <c r="G25" s="363">
        <v>3102101768121</v>
      </c>
      <c r="H25" s="364">
        <v>215985</v>
      </c>
      <c r="I25" s="307">
        <f t="shared" si="0"/>
        <v>68</v>
      </c>
      <c r="J25" s="306">
        <f t="shared" si="1"/>
        <v>4</v>
      </c>
      <c r="K25" s="306">
        <f t="shared" si="2"/>
        <v>25</v>
      </c>
      <c r="L25" s="306" t="str">
        <f t="shared" si="3"/>
        <v>68 ปี  4 เดือน  25 วัน</v>
      </c>
      <c r="M25" s="365">
        <f t="shared" si="4"/>
        <v>600</v>
      </c>
      <c r="N25" s="365"/>
      <c r="O25" s="367"/>
      <c r="Q25" s="110"/>
      <c r="R25" s="234">
        <v>63</v>
      </c>
      <c r="S25" s="93">
        <f>COUNTIF(I6:I227,"63")</f>
        <v>24</v>
      </c>
      <c r="T25" s="108"/>
      <c r="U25" s="115" t="s">
        <v>9</v>
      </c>
      <c r="V25" s="93">
        <v>0</v>
      </c>
      <c r="W25" s="109"/>
    </row>
    <row r="26" spans="1:23" ht="23.25">
      <c r="A26" s="446">
        <v>21</v>
      </c>
      <c r="B26" s="358" t="s">
        <v>30</v>
      </c>
      <c r="C26" s="359" t="s">
        <v>56</v>
      </c>
      <c r="D26" s="360" t="s">
        <v>339</v>
      </c>
      <c r="E26" s="361" t="s">
        <v>340</v>
      </c>
      <c r="F26" s="362">
        <v>1</v>
      </c>
      <c r="G26" s="363">
        <v>3100600423836</v>
      </c>
      <c r="H26" s="364">
        <v>215496</v>
      </c>
      <c r="I26" s="307">
        <f aca="true" t="shared" si="7" ref="I26:I67">DATEDIF(H26,$S$20,"Y")</f>
        <v>69</v>
      </c>
      <c r="J26" s="306">
        <f aca="true" t="shared" si="8" ref="J26:J67">DATEDIF(H26,$S$20,"YM")</f>
        <v>8</v>
      </c>
      <c r="K26" s="306">
        <f aca="true" t="shared" si="9" ref="K26:K67">DATEDIF(H26,$S$20,"MD")</f>
        <v>29</v>
      </c>
      <c r="L26" s="306" t="str">
        <f aca="true" t="shared" si="10" ref="L26:L67">I26&amp;" ปี  "&amp;J26&amp;" เดือน  "&amp;K26&amp;" วัน"</f>
        <v>69 ปี  8 เดือน  29 วัน</v>
      </c>
      <c r="M26" s="365">
        <f aca="true" t="shared" si="11" ref="M26:M41">IF(I26&lt;=69,600,IF(I26&lt;=79,700,IF(I26&lt;=89,800,IF(I26&gt;=90,1000))))</f>
        <v>600</v>
      </c>
      <c r="N26" s="365"/>
      <c r="O26" s="367"/>
      <c r="P26" s="1"/>
      <c r="R26" s="234">
        <v>64</v>
      </c>
      <c r="S26" s="93">
        <f>COUNTIF(I6:I227,"64")</f>
        <v>29</v>
      </c>
      <c r="T26" s="108"/>
      <c r="U26" s="113" t="s">
        <v>25</v>
      </c>
      <c r="V26" s="113">
        <f>SUM(V22:V25)</f>
        <v>219</v>
      </c>
      <c r="W26" s="109"/>
    </row>
    <row r="27" spans="1:24" s="53" customFormat="1" ht="23.25">
      <c r="A27" s="446">
        <v>22</v>
      </c>
      <c r="B27" s="358" t="s">
        <v>30</v>
      </c>
      <c r="C27" s="382" t="s">
        <v>345</v>
      </c>
      <c r="D27" s="383" t="s">
        <v>346</v>
      </c>
      <c r="E27" s="361" t="s">
        <v>120</v>
      </c>
      <c r="F27" s="362">
        <v>1</v>
      </c>
      <c r="G27" s="363">
        <v>3101600350848</v>
      </c>
      <c r="H27" s="364">
        <v>216425</v>
      </c>
      <c r="I27" s="307">
        <f t="shared" si="7"/>
        <v>67</v>
      </c>
      <c r="J27" s="306">
        <f t="shared" si="8"/>
        <v>2</v>
      </c>
      <c r="K27" s="306">
        <f t="shared" si="9"/>
        <v>12</v>
      </c>
      <c r="L27" s="306" t="str">
        <f t="shared" si="10"/>
        <v>67 ปี  2 เดือน  12 วัน</v>
      </c>
      <c r="M27" s="365">
        <f t="shared" si="11"/>
        <v>600</v>
      </c>
      <c r="N27" s="365"/>
      <c r="O27" s="367"/>
      <c r="P27" s="42"/>
      <c r="Q27" s="101"/>
      <c r="R27" s="235">
        <v>65</v>
      </c>
      <c r="S27" s="93">
        <f>COUNTIF(I6:I227,"65")</f>
        <v>21</v>
      </c>
      <c r="T27" s="101"/>
      <c r="W27" s="101"/>
      <c r="X27" s="42"/>
    </row>
    <row r="28" spans="1:23" s="53" customFormat="1" ht="23.25">
      <c r="A28" s="446">
        <v>23</v>
      </c>
      <c r="B28" s="358" t="s">
        <v>31</v>
      </c>
      <c r="C28" s="359" t="s">
        <v>347</v>
      </c>
      <c r="D28" s="360" t="s">
        <v>348</v>
      </c>
      <c r="E28" s="361" t="s">
        <v>263</v>
      </c>
      <c r="F28" s="362">
        <v>1</v>
      </c>
      <c r="G28" s="363">
        <v>3730600581339</v>
      </c>
      <c r="H28" s="364">
        <v>216416</v>
      </c>
      <c r="I28" s="307">
        <f t="shared" si="7"/>
        <v>67</v>
      </c>
      <c r="J28" s="306">
        <f t="shared" si="8"/>
        <v>2</v>
      </c>
      <c r="K28" s="306">
        <f t="shared" si="9"/>
        <v>21</v>
      </c>
      <c r="L28" s="306" t="str">
        <f t="shared" si="10"/>
        <v>67 ปี  2 เดือน  21 วัน</v>
      </c>
      <c r="M28" s="365">
        <f t="shared" si="11"/>
        <v>600</v>
      </c>
      <c r="N28" s="365"/>
      <c r="O28" s="367"/>
      <c r="Q28" s="101"/>
      <c r="R28" s="234">
        <v>66</v>
      </c>
      <c r="S28" s="93">
        <f>COUNTIF(I6:I227,"66")</f>
        <v>20</v>
      </c>
      <c r="T28" s="101"/>
      <c r="W28" s="101"/>
    </row>
    <row r="29" spans="1:24" s="54" customFormat="1" ht="23.25">
      <c r="A29" s="446">
        <v>24</v>
      </c>
      <c r="B29" s="358" t="s">
        <v>30</v>
      </c>
      <c r="C29" s="359" t="s">
        <v>43</v>
      </c>
      <c r="D29" s="360" t="s">
        <v>343</v>
      </c>
      <c r="E29" s="361" t="s">
        <v>351</v>
      </c>
      <c r="F29" s="362">
        <v>1</v>
      </c>
      <c r="G29" s="363">
        <v>3730600591881</v>
      </c>
      <c r="H29" s="364">
        <v>216708</v>
      </c>
      <c r="I29" s="307">
        <f t="shared" si="7"/>
        <v>66</v>
      </c>
      <c r="J29" s="306">
        <f t="shared" si="8"/>
        <v>5</v>
      </c>
      <c r="K29" s="306">
        <f t="shared" si="9"/>
        <v>3</v>
      </c>
      <c r="L29" s="306" t="str">
        <f t="shared" si="10"/>
        <v>66 ปี  5 เดือน  3 วัน</v>
      </c>
      <c r="M29" s="365">
        <f t="shared" si="11"/>
        <v>600</v>
      </c>
      <c r="N29" s="365"/>
      <c r="O29" s="367"/>
      <c r="P29" s="53"/>
      <c r="Q29" s="101"/>
      <c r="R29" s="234">
        <v>67</v>
      </c>
      <c r="S29" s="93">
        <f>COUNTIF(I6:I227,"67")</f>
        <v>11</v>
      </c>
      <c r="T29" s="101"/>
      <c r="W29" s="101"/>
      <c r="X29" s="53"/>
    </row>
    <row r="30" spans="1:24" s="1" customFormat="1" ht="23.25">
      <c r="A30" s="446">
        <v>25</v>
      </c>
      <c r="B30" s="358" t="s">
        <v>30</v>
      </c>
      <c r="C30" s="382" t="s">
        <v>228</v>
      </c>
      <c r="D30" s="383" t="s">
        <v>300</v>
      </c>
      <c r="E30" s="361" t="s">
        <v>352</v>
      </c>
      <c r="F30" s="362">
        <v>1</v>
      </c>
      <c r="G30" s="363">
        <v>3730600575843</v>
      </c>
      <c r="H30" s="364">
        <v>216592</v>
      </c>
      <c r="I30" s="307">
        <f t="shared" si="7"/>
        <v>66</v>
      </c>
      <c r="J30" s="306">
        <f t="shared" si="8"/>
        <v>8</v>
      </c>
      <c r="K30" s="306">
        <f t="shared" si="9"/>
        <v>29</v>
      </c>
      <c r="L30" s="306" t="str">
        <f t="shared" si="10"/>
        <v>66 ปี  8 เดือน  29 วัน</v>
      </c>
      <c r="M30" s="365">
        <f t="shared" si="11"/>
        <v>600</v>
      </c>
      <c r="N30" s="384"/>
      <c r="O30" s="367"/>
      <c r="P30" s="54"/>
      <c r="Q30" s="101"/>
      <c r="R30" s="234">
        <v>68</v>
      </c>
      <c r="S30" s="93">
        <f>COUNTIF(I6:I227,"68")</f>
        <v>10</v>
      </c>
      <c r="T30" s="101"/>
      <c r="W30" s="101"/>
      <c r="X30" s="54"/>
    </row>
    <row r="31" spans="1:24" s="4" customFormat="1" ht="23.25">
      <c r="A31" s="446">
        <v>26</v>
      </c>
      <c r="B31" s="358" t="s">
        <v>31</v>
      </c>
      <c r="C31" s="359" t="s">
        <v>353</v>
      </c>
      <c r="D31" s="360" t="s">
        <v>354</v>
      </c>
      <c r="E31" s="361" t="s">
        <v>68</v>
      </c>
      <c r="F31" s="362">
        <v>1</v>
      </c>
      <c r="G31" s="363">
        <v>3730600578419</v>
      </c>
      <c r="H31" s="364">
        <v>216592</v>
      </c>
      <c r="I31" s="307">
        <f t="shared" si="7"/>
        <v>66</v>
      </c>
      <c r="J31" s="306">
        <f t="shared" si="8"/>
        <v>8</v>
      </c>
      <c r="K31" s="306">
        <f t="shared" si="9"/>
        <v>29</v>
      </c>
      <c r="L31" s="306" t="str">
        <f t="shared" si="10"/>
        <v>66 ปี  8 เดือน  29 วัน</v>
      </c>
      <c r="M31" s="365">
        <f t="shared" si="11"/>
        <v>600</v>
      </c>
      <c r="N31" s="365"/>
      <c r="O31" s="379"/>
      <c r="R31" s="234">
        <v>69</v>
      </c>
      <c r="S31" s="93">
        <f>COUNTIF(I6:I227,"69")</f>
        <v>10</v>
      </c>
      <c r="T31" s="101"/>
      <c r="W31" s="101"/>
      <c r="X31" s="1"/>
    </row>
    <row r="32" spans="1:24" ht="21">
      <c r="A32" s="446">
        <v>27</v>
      </c>
      <c r="B32" s="358" t="s">
        <v>30</v>
      </c>
      <c r="C32" s="359" t="s">
        <v>91</v>
      </c>
      <c r="D32" s="360" t="s">
        <v>355</v>
      </c>
      <c r="E32" s="361" t="s">
        <v>356</v>
      </c>
      <c r="F32" s="362">
        <v>1</v>
      </c>
      <c r="G32" s="363">
        <v>3730300660187</v>
      </c>
      <c r="H32" s="364">
        <v>216592</v>
      </c>
      <c r="I32" s="307">
        <f t="shared" si="7"/>
        <v>66</v>
      </c>
      <c r="J32" s="306">
        <f t="shared" si="8"/>
        <v>8</v>
      </c>
      <c r="K32" s="306">
        <f t="shared" si="9"/>
        <v>29</v>
      </c>
      <c r="L32" s="306" t="str">
        <f t="shared" si="10"/>
        <v>66 ปี  8 เดือน  29 วัน</v>
      </c>
      <c r="M32" s="365">
        <f t="shared" si="11"/>
        <v>600</v>
      </c>
      <c r="N32" s="365"/>
      <c r="O32" s="379"/>
      <c r="P32" s="4"/>
      <c r="R32" s="463" t="s">
        <v>25</v>
      </c>
      <c r="S32" s="113">
        <f>SUM(S22:S31)</f>
        <v>219</v>
      </c>
      <c r="X32" s="4"/>
    </row>
    <row r="33" spans="1:22" ht="21">
      <c r="A33" s="446">
        <v>28</v>
      </c>
      <c r="B33" s="358" t="s">
        <v>31</v>
      </c>
      <c r="C33" s="380" t="s">
        <v>247</v>
      </c>
      <c r="D33" s="381" t="s">
        <v>348</v>
      </c>
      <c r="E33" s="361" t="s">
        <v>258</v>
      </c>
      <c r="F33" s="362">
        <v>1</v>
      </c>
      <c r="G33" s="363">
        <v>3730600579962</v>
      </c>
      <c r="H33" s="364">
        <v>216672</v>
      </c>
      <c r="I33" s="307">
        <f t="shared" si="7"/>
        <v>66</v>
      </c>
      <c r="J33" s="306">
        <f t="shared" si="8"/>
        <v>6</v>
      </c>
      <c r="K33" s="306">
        <f t="shared" si="9"/>
        <v>8</v>
      </c>
      <c r="L33" s="306" t="str">
        <f t="shared" si="10"/>
        <v>66 ปี  6 เดือน  8 วัน</v>
      </c>
      <c r="M33" s="365">
        <f t="shared" si="11"/>
        <v>600</v>
      </c>
      <c r="N33" s="365"/>
      <c r="O33" s="367"/>
      <c r="R33" s="172"/>
      <c r="S33" s="96"/>
      <c r="V33" s="116"/>
    </row>
    <row r="34" spans="1:19" ht="21">
      <c r="A34" s="446">
        <v>29</v>
      </c>
      <c r="B34" s="358" t="s">
        <v>31</v>
      </c>
      <c r="C34" s="380" t="s">
        <v>174</v>
      </c>
      <c r="D34" s="381" t="s">
        <v>357</v>
      </c>
      <c r="E34" s="361" t="s">
        <v>80</v>
      </c>
      <c r="F34" s="362">
        <v>1</v>
      </c>
      <c r="G34" s="363">
        <v>3100203065291</v>
      </c>
      <c r="H34" s="364">
        <v>216506</v>
      </c>
      <c r="I34" s="307">
        <f t="shared" si="7"/>
        <v>66</v>
      </c>
      <c r="J34" s="306">
        <f t="shared" si="8"/>
        <v>11</v>
      </c>
      <c r="K34" s="306">
        <f t="shared" si="9"/>
        <v>23</v>
      </c>
      <c r="L34" s="306" t="str">
        <f t="shared" si="10"/>
        <v>66 ปี  11 เดือน  23 วัน</v>
      </c>
      <c r="M34" s="365">
        <f t="shared" si="11"/>
        <v>600</v>
      </c>
      <c r="N34" s="365"/>
      <c r="O34" s="367"/>
      <c r="R34" s="172"/>
      <c r="S34" s="96"/>
    </row>
    <row r="35" spans="1:19" ht="21">
      <c r="A35" s="446">
        <v>30</v>
      </c>
      <c r="B35" s="358" t="s">
        <v>30</v>
      </c>
      <c r="C35" s="380" t="s">
        <v>43</v>
      </c>
      <c r="D35" s="381" t="s">
        <v>301</v>
      </c>
      <c r="E35" s="361" t="s">
        <v>263</v>
      </c>
      <c r="F35" s="362">
        <v>1</v>
      </c>
      <c r="G35" s="363">
        <v>3730600581347</v>
      </c>
      <c r="H35" s="364">
        <v>216654</v>
      </c>
      <c r="I35" s="307">
        <f t="shared" si="7"/>
        <v>66</v>
      </c>
      <c r="J35" s="306">
        <f t="shared" si="8"/>
        <v>6</v>
      </c>
      <c r="K35" s="306">
        <f t="shared" si="9"/>
        <v>26</v>
      </c>
      <c r="L35" s="306" t="str">
        <f t="shared" si="10"/>
        <v>66 ปี  6 เดือน  26 วัน</v>
      </c>
      <c r="M35" s="365">
        <f t="shared" si="11"/>
        <v>600</v>
      </c>
      <c r="N35" s="365"/>
      <c r="O35" s="367"/>
      <c r="R35" s="351" t="s">
        <v>30</v>
      </c>
      <c r="S35" s="352">
        <f>COUNTIF(B6:B455,"นาย")</f>
        <v>184</v>
      </c>
    </row>
    <row r="36" spans="1:19" ht="21">
      <c r="A36" s="446">
        <v>31</v>
      </c>
      <c r="B36" s="358" t="s">
        <v>30</v>
      </c>
      <c r="C36" s="359" t="s">
        <v>152</v>
      </c>
      <c r="D36" s="360" t="s">
        <v>358</v>
      </c>
      <c r="E36" s="361" t="s">
        <v>359</v>
      </c>
      <c r="F36" s="362">
        <v>1</v>
      </c>
      <c r="G36" s="363">
        <v>3102000593562</v>
      </c>
      <c r="H36" s="364">
        <v>216553</v>
      </c>
      <c r="I36" s="307">
        <f t="shared" si="7"/>
        <v>66</v>
      </c>
      <c r="J36" s="306">
        <f t="shared" si="8"/>
        <v>10</v>
      </c>
      <c r="K36" s="306">
        <f t="shared" si="9"/>
        <v>7</v>
      </c>
      <c r="L36" s="306" t="str">
        <f t="shared" si="10"/>
        <v>66 ปี  10 เดือน  7 วัน</v>
      </c>
      <c r="M36" s="365">
        <f t="shared" si="11"/>
        <v>600</v>
      </c>
      <c r="N36" s="365"/>
      <c r="O36" s="367"/>
      <c r="Q36" s="101" t="s">
        <v>1378</v>
      </c>
      <c r="R36" s="351" t="s">
        <v>31</v>
      </c>
      <c r="S36" s="352">
        <f>COUNTIF(B6:B455,"นาง")</f>
        <v>171</v>
      </c>
    </row>
    <row r="37" spans="1:19" ht="21">
      <c r="A37" s="446">
        <v>32</v>
      </c>
      <c r="B37" s="358" t="s">
        <v>30</v>
      </c>
      <c r="C37" s="359" t="s">
        <v>360</v>
      </c>
      <c r="D37" s="360" t="s">
        <v>361</v>
      </c>
      <c r="E37" s="361" t="s">
        <v>362</v>
      </c>
      <c r="F37" s="362">
        <v>1</v>
      </c>
      <c r="G37" s="363">
        <v>3101401987200</v>
      </c>
      <c r="H37" s="364">
        <v>216638</v>
      </c>
      <c r="I37" s="307">
        <f t="shared" si="7"/>
        <v>66</v>
      </c>
      <c r="J37" s="306">
        <f t="shared" si="8"/>
        <v>7</v>
      </c>
      <c r="K37" s="306">
        <f t="shared" si="9"/>
        <v>14</v>
      </c>
      <c r="L37" s="306" t="str">
        <f t="shared" si="10"/>
        <v>66 ปี  7 เดือน  14 วัน</v>
      </c>
      <c r="M37" s="365">
        <f t="shared" si="11"/>
        <v>600</v>
      </c>
      <c r="N37" s="365"/>
      <c r="O37" s="379"/>
      <c r="R37" s="351" t="s">
        <v>32</v>
      </c>
      <c r="S37" s="352">
        <f>COUNTIF(B6:B455,"น.ส.")</f>
        <v>91</v>
      </c>
    </row>
    <row r="38" spans="1:19" ht="21">
      <c r="A38" s="446">
        <v>33</v>
      </c>
      <c r="B38" s="358" t="s">
        <v>31</v>
      </c>
      <c r="C38" s="359" t="s">
        <v>363</v>
      </c>
      <c r="D38" s="360" t="s">
        <v>364</v>
      </c>
      <c r="E38" s="361" t="s">
        <v>365</v>
      </c>
      <c r="F38" s="362">
        <v>1</v>
      </c>
      <c r="G38" s="363">
        <v>5100200007696</v>
      </c>
      <c r="H38" s="364">
        <v>216592</v>
      </c>
      <c r="I38" s="307">
        <f t="shared" si="7"/>
        <v>66</v>
      </c>
      <c r="J38" s="306">
        <f t="shared" si="8"/>
        <v>8</v>
      </c>
      <c r="K38" s="306">
        <f t="shared" si="9"/>
        <v>29</v>
      </c>
      <c r="L38" s="306" t="str">
        <f t="shared" si="10"/>
        <v>66 ปี  8 เดือน  29 วัน</v>
      </c>
      <c r="M38" s="365">
        <f t="shared" si="11"/>
        <v>600</v>
      </c>
      <c r="N38" s="365"/>
      <c r="O38" s="379"/>
      <c r="R38" s="351" t="s">
        <v>25</v>
      </c>
      <c r="S38" s="352">
        <f>SUM(S35:S37)</f>
        <v>446</v>
      </c>
    </row>
    <row r="39" spans="1:19" ht="21">
      <c r="A39" s="446">
        <v>34</v>
      </c>
      <c r="B39" s="358" t="s">
        <v>32</v>
      </c>
      <c r="C39" s="359" t="s">
        <v>40</v>
      </c>
      <c r="D39" s="360" t="s">
        <v>366</v>
      </c>
      <c r="E39" s="361" t="s">
        <v>367</v>
      </c>
      <c r="F39" s="362">
        <v>1</v>
      </c>
      <c r="G39" s="363">
        <v>3740200070922</v>
      </c>
      <c r="H39" s="364">
        <v>216581</v>
      </c>
      <c r="I39" s="307">
        <f t="shared" si="7"/>
        <v>66</v>
      </c>
      <c r="J39" s="306">
        <f t="shared" si="8"/>
        <v>9</v>
      </c>
      <c r="K39" s="306">
        <f t="shared" si="9"/>
        <v>9</v>
      </c>
      <c r="L39" s="306" t="str">
        <f t="shared" si="10"/>
        <v>66 ปี  9 เดือน  9 วัน</v>
      </c>
      <c r="M39" s="365">
        <f t="shared" si="11"/>
        <v>600</v>
      </c>
      <c r="N39" s="365"/>
      <c r="O39" s="367"/>
      <c r="R39" s="172"/>
      <c r="S39" s="96"/>
    </row>
    <row r="40" spans="1:19" ht="21">
      <c r="A40" s="446">
        <v>35</v>
      </c>
      <c r="B40" s="358" t="s">
        <v>32</v>
      </c>
      <c r="C40" s="359" t="s">
        <v>368</v>
      </c>
      <c r="D40" s="360" t="s">
        <v>369</v>
      </c>
      <c r="E40" s="361" t="s">
        <v>370</v>
      </c>
      <c r="F40" s="362">
        <v>1</v>
      </c>
      <c r="G40" s="363">
        <v>3102001603049</v>
      </c>
      <c r="H40" s="364">
        <v>216606</v>
      </c>
      <c r="I40" s="307">
        <f t="shared" si="7"/>
        <v>66</v>
      </c>
      <c r="J40" s="306">
        <f t="shared" si="8"/>
        <v>8</v>
      </c>
      <c r="K40" s="306">
        <f t="shared" si="9"/>
        <v>15</v>
      </c>
      <c r="L40" s="306" t="str">
        <f t="shared" si="10"/>
        <v>66 ปี  8 เดือน  15 วัน</v>
      </c>
      <c r="M40" s="365">
        <f t="shared" si="11"/>
        <v>600</v>
      </c>
      <c r="N40" s="365"/>
      <c r="O40" s="367"/>
      <c r="R40" s="172"/>
      <c r="S40" s="96"/>
    </row>
    <row r="41" spans="1:23" ht="21">
      <c r="A41" s="446">
        <v>36</v>
      </c>
      <c r="B41" s="358" t="s">
        <v>30</v>
      </c>
      <c r="C41" s="359" t="s">
        <v>371</v>
      </c>
      <c r="D41" s="360" t="s">
        <v>348</v>
      </c>
      <c r="E41" s="361" t="s">
        <v>372</v>
      </c>
      <c r="F41" s="362">
        <v>1</v>
      </c>
      <c r="G41" s="363">
        <v>3730600580529</v>
      </c>
      <c r="H41" s="364">
        <v>217114</v>
      </c>
      <c r="I41" s="307">
        <f t="shared" si="7"/>
        <v>65</v>
      </c>
      <c r="J41" s="306">
        <f t="shared" si="8"/>
        <v>3</v>
      </c>
      <c r="K41" s="306">
        <f t="shared" si="9"/>
        <v>23</v>
      </c>
      <c r="L41" s="306" t="str">
        <f t="shared" si="10"/>
        <v>65 ปี  3 เดือน  23 วัน</v>
      </c>
      <c r="M41" s="365">
        <f t="shared" si="11"/>
        <v>600</v>
      </c>
      <c r="N41" s="365"/>
      <c r="O41" s="379"/>
      <c r="R41" s="172"/>
      <c r="S41" s="111" t="s">
        <v>0</v>
      </c>
      <c r="T41" s="112" t="s">
        <v>22</v>
      </c>
      <c r="V41" s="113" t="s">
        <v>1</v>
      </c>
      <c r="W41" s="113" t="s">
        <v>22</v>
      </c>
    </row>
    <row r="42" spans="1:25" ht="21">
      <c r="A42" s="446">
        <v>37</v>
      </c>
      <c r="B42" s="358" t="s">
        <v>31</v>
      </c>
      <c r="C42" s="359" t="s">
        <v>374</v>
      </c>
      <c r="D42" s="360" t="s">
        <v>375</v>
      </c>
      <c r="E42" s="361" t="s">
        <v>376</v>
      </c>
      <c r="F42" s="362">
        <v>1</v>
      </c>
      <c r="G42" s="363">
        <v>3102002666486</v>
      </c>
      <c r="H42" s="364">
        <v>216876</v>
      </c>
      <c r="I42" s="307">
        <f t="shared" si="7"/>
        <v>65</v>
      </c>
      <c r="J42" s="306">
        <f t="shared" si="8"/>
        <v>11</v>
      </c>
      <c r="K42" s="306">
        <f t="shared" si="9"/>
        <v>18</v>
      </c>
      <c r="L42" s="306" t="str">
        <f t="shared" si="10"/>
        <v>65 ปี  11 เดือน  18 วัน</v>
      </c>
      <c r="M42" s="365">
        <f aca="true" t="shared" si="12" ref="M42:M51">IF(I42&lt;=69,600,IF(I42&lt;=79,700,IF(I42&lt;=89,800,IF(I42&gt;=90,1000))))</f>
        <v>600</v>
      </c>
      <c r="N42" s="365"/>
      <c r="O42" s="379"/>
      <c r="R42" s="172"/>
      <c r="S42" s="114">
        <v>60</v>
      </c>
      <c r="T42" s="98">
        <f>COUNTIF(I228:I297,"60")</f>
        <v>10</v>
      </c>
      <c r="V42" s="115" t="s">
        <v>2</v>
      </c>
      <c r="W42" s="352">
        <f>SUM(T42:T51)</f>
        <v>70</v>
      </c>
      <c r="Y42" s="42" t="s">
        <v>684</v>
      </c>
    </row>
    <row r="43" spans="1:23" ht="21">
      <c r="A43" s="446">
        <v>38</v>
      </c>
      <c r="B43" s="358" t="s">
        <v>31</v>
      </c>
      <c r="C43" s="382" t="s">
        <v>377</v>
      </c>
      <c r="D43" s="383" t="s">
        <v>378</v>
      </c>
      <c r="E43" s="361" t="s">
        <v>379</v>
      </c>
      <c r="F43" s="362">
        <v>1</v>
      </c>
      <c r="G43" s="363">
        <v>3730600578273</v>
      </c>
      <c r="H43" s="364">
        <v>217082</v>
      </c>
      <c r="I43" s="307">
        <f t="shared" si="7"/>
        <v>65</v>
      </c>
      <c r="J43" s="306">
        <f t="shared" si="8"/>
        <v>4</v>
      </c>
      <c r="K43" s="306">
        <f t="shared" si="9"/>
        <v>24</v>
      </c>
      <c r="L43" s="306" t="str">
        <f t="shared" si="10"/>
        <v>65 ปี  4 เดือน  24 วัน</v>
      </c>
      <c r="M43" s="365">
        <f t="shared" si="12"/>
        <v>600</v>
      </c>
      <c r="N43" s="365"/>
      <c r="O43" s="367"/>
      <c r="R43" s="172"/>
      <c r="S43" s="114">
        <v>61</v>
      </c>
      <c r="T43" s="98">
        <f>COUNTIF(I228:I297,"61")</f>
        <v>3</v>
      </c>
      <c r="V43" s="115" t="s">
        <v>7</v>
      </c>
      <c r="W43" s="93">
        <v>0</v>
      </c>
    </row>
    <row r="44" spans="1:23" ht="21">
      <c r="A44" s="446">
        <v>39</v>
      </c>
      <c r="B44" s="358" t="s">
        <v>31</v>
      </c>
      <c r="C44" s="382" t="s">
        <v>380</v>
      </c>
      <c r="D44" s="383" t="s">
        <v>192</v>
      </c>
      <c r="E44" s="361" t="s">
        <v>381</v>
      </c>
      <c r="F44" s="362">
        <v>1</v>
      </c>
      <c r="G44" s="363">
        <v>3730600577773</v>
      </c>
      <c r="H44" s="364">
        <v>216924</v>
      </c>
      <c r="I44" s="307">
        <f t="shared" si="7"/>
        <v>65</v>
      </c>
      <c r="J44" s="306">
        <f t="shared" si="8"/>
        <v>10</v>
      </c>
      <c r="K44" s="306">
        <f t="shared" si="9"/>
        <v>1</v>
      </c>
      <c r="L44" s="306" t="str">
        <f t="shared" si="10"/>
        <v>65 ปี  10 เดือน  1 วัน</v>
      </c>
      <c r="M44" s="365">
        <f t="shared" si="12"/>
        <v>600</v>
      </c>
      <c r="N44" s="365"/>
      <c r="O44" s="367"/>
      <c r="R44" s="172"/>
      <c r="S44" s="114">
        <v>62</v>
      </c>
      <c r="T44" s="98">
        <f>COUNTIF(I228:I297,"62")</f>
        <v>9</v>
      </c>
      <c r="V44" s="115" t="s">
        <v>8</v>
      </c>
      <c r="W44" s="93">
        <v>0</v>
      </c>
    </row>
    <row r="45" spans="1:23" ht="21">
      <c r="A45" s="446">
        <v>40</v>
      </c>
      <c r="B45" s="358" t="s">
        <v>32</v>
      </c>
      <c r="C45" s="382" t="s">
        <v>382</v>
      </c>
      <c r="D45" s="383" t="s">
        <v>383</v>
      </c>
      <c r="E45" s="361" t="s">
        <v>384</v>
      </c>
      <c r="F45" s="362">
        <v>1</v>
      </c>
      <c r="G45" s="363">
        <v>3471201103810</v>
      </c>
      <c r="H45" s="364">
        <v>215500</v>
      </c>
      <c r="I45" s="307">
        <f t="shared" si="7"/>
        <v>69</v>
      </c>
      <c r="J45" s="306">
        <f t="shared" si="8"/>
        <v>8</v>
      </c>
      <c r="K45" s="306">
        <f t="shared" si="9"/>
        <v>25</v>
      </c>
      <c r="L45" s="306" t="str">
        <f t="shared" si="10"/>
        <v>69 ปี  8 เดือน  25 วัน</v>
      </c>
      <c r="M45" s="365">
        <f t="shared" si="12"/>
        <v>600</v>
      </c>
      <c r="N45" s="365"/>
      <c r="O45" s="367"/>
      <c r="R45" s="172"/>
      <c r="S45" s="114">
        <v>63</v>
      </c>
      <c r="T45" s="98">
        <f>COUNTIF(I228:I297,"63")</f>
        <v>7</v>
      </c>
      <c r="V45" s="115" t="s">
        <v>9</v>
      </c>
      <c r="W45" s="93">
        <v>0</v>
      </c>
    </row>
    <row r="46" spans="1:23" ht="21">
      <c r="A46" s="446">
        <v>41</v>
      </c>
      <c r="B46" s="358" t="s">
        <v>30</v>
      </c>
      <c r="C46" s="382" t="s">
        <v>385</v>
      </c>
      <c r="D46" s="383" t="s">
        <v>386</v>
      </c>
      <c r="E46" s="361" t="s">
        <v>1523</v>
      </c>
      <c r="F46" s="362">
        <v>1</v>
      </c>
      <c r="G46" s="363">
        <v>3330401493441</v>
      </c>
      <c r="H46" s="364">
        <v>217193</v>
      </c>
      <c r="I46" s="307">
        <f t="shared" si="7"/>
        <v>65</v>
      </c>
      <c r="J46" s="306">
        <f t="shared" si="8"/>
        <v>1</v>
      </c>
      <c r="K46" s="306">
        <f t="shared" si="9"/>
        <v>5</v>
      </c>
      <c r="L46" s="306" t="str">
        <f t="shared" si="10"/>
        <v>65 ปี  1 เดือน  5 วัน</v>
      </c>
      <c r="M46" s="365">
        <f t="shared" si="12"/>
        <v>600</v>
      </c>
      <c r="N46" s="365"/>
      <c r="O46" s="367"/>
      <c r="R46" s="172"/>
      <c r="S46" s="114">
        <v>64</v>
      </c>
      <c r="T46" s="98">
        <f>COUNTIF(I228:I297,"64")</f>
        <v>6</v>
      </c>
      <c r="V46" s="113" t="s">
        <v>25</v>
      </c>
      <c r="W46" s="113">
        <f>SUM(W42:W45)</f>
        <v>70</v>
      </c>
    </row>
    <row r="47" spans="1:23" ht="21">
      <c r="A47" s="446">
        <v>42</v>
      </c>
      <c r="B47" s="358" t="s">
        <v>31</v>
      </c>
      <c r="C47" s="382" t="s">
        <v>39</v>
      </c>
      <c r="D47" s="383" t="s">
        <v>387</v>
      </c>
      <c r="E47" s="361" t="s">
        <v>134</v>
      </c>
      <c r="F47" s="362">
        <v>1</v>
      </c>
      <c r="G47" s="363">
        <v>3730600580243</v>
      </c>
      <c r="H47" s="364">
        <v>216957</v>
      </c>
      <c r="I47" s="307">
        <f t="shared" si="7"/>
        <v>65</v>
      </c>
      <c r="J47" s="306">
        <f t="shared" si="8"/>
        <v>8</v>
      </c>
      <c r="K47" s="306">
        <f t="shared" si="9"/>
        <v>29</v>
      </c>
      <c r="L47" s="306" t="str">
        <f t="shared" si="10"/>
        <v>65 ปี  8 เดือน  29 วัน</v>
      </c>
      <c r="M47" s="365">
        <f t="shared" si="12"/>
        <v>600</v>
      </c>
      <c r="N47" s="365"/>
      <c r="O47" s="379"/>
      <c r="R47" s="172"/>
      <c r="S47" s="114">
        <v>65</v>
      </c>
      <c r="T47" s="98">
        <f>COUNTIF(I228:I297,"65")</f>
        <v>6</v>
      </c>
      <c r="W47" s="116"/>
    </row>
    <row r="48" spans="1:20" ht="21">
      <c r="A48" s="446">
        <v>43</v>
      </c>
      <c r="B48" s="358" t="s">
        <v>32</v>
      </c>
      <c r="C48" s="359" t="s">
        <v>241</v>
      </c>
      <c r="D48" s="360" t="s">
        <v>285</v>
      </c>
      <c r="E48" s="361" t="s">
        <v>286</v>
      </c>
      <c r="F48" s="362">
        <v>1</v>
      </c>
      <c r="G48" s="363">
        <v>3730600577455</v>
      </c>
      <c r="H48" s="364">
        <v>216957</v>
      </c>
      <c r="I48" s="307">
        <f t="shared" si="7"/>
        <v>65</v>
      </c>
      <c r="J48" s="306">
        <f t="shared" si="8"/>
        <v>8</v>
      </c>
      <c r="K48" s="306">
        <f t="shared" si="9"/>
        <v>29</v>
      </c>
      <c r="L48" s="306" t="str">
        <f t="shared" si="10"/>
        <v>65 ปี  8 เดือน  29 วัน</v>
      </c>
      <c r="M48" s="365">
        <f t="shared" si="12"/>
        <v>600</v>
      </c>
      <c r="N48" s="365"/>
      <c r="O48" s="367"/>
      <c r="R48" s="172"/>
      <c r="S48" s="114">
        <v>66</v>
      </c>
      <c r="T48" s="98">
        <f>COUNTIF(I228:I297,"66")</f>
        <v>6</v>
      </c>
    </row>
    <row r="49" spans="1:20" ht="21">
      <c r="A49" s="446">
        <v>44</v>
      </c>
      <c r="B49" s="358" t="s">
        <v>31</v>
      </c>
      <c r="C49" s="382" t="s">
        <v>388</v>
      </c>
      <c r="D49" s="383" t="s">
        <v>293</v>
      </c>
      <c r="E49" s="361" t="s">
        <v>294</v>
      </c>
      <c r="F49" s="362">
        <v>1</v>
      </c>
      <c r="G49" s="363">
        <v>3730600579482</v>
      </c>
      <c r="H49" s="364">
        <v>216946</v>
      </c>
      <c r="I49" s="307">
        <f t="shared" si="7"/>
        <v>65</v>
      </c>
      <c r="J49" s="306">
        <f t="shared" si="8"/>
        <v>9</v>
      </c>
      <c r="K49" s="306">
        <f t="shared" si="9"/>
        <v>9</v>
      </c>
      <c r="L49" s="306" t="str">
        <f t="shared" si="10"/>
        <v>65 ปี  9 เดือน  9 วัน</v>
      </c>
      <c r="M49" s="365">
        <f t="shared" si="12"/>
        <v>600</v>
      </c>
      <c r="N49" s="365"/>
      <c r="O49" s="379"/>
      <c r="R49" s="172"/>
      <c r="S49" s="114">
        <v>67</v>
      </c>
      <c r="T49" s="98">
        <f>COUNTIF(I228:I297,"67")</f>
        <v>10</v>
      </c>
    </row>
    <row r="50" spans="1:20" ht="21">
      <c r="A50" s="446">
        <v>45</v>
      </c>
      <c r="B50" s="358" t="s">
        <v>30</v>
      </c>
      <c r="C50" s="382" t="s">
        <v>270</v>
      </c>
      <c r="D50" s="383" t="s">
        <v>389</v>
      </c>
      <c r="E50" s="361" t="s">
        <v>390</v>
      </c>
      <c r="F50" s="362">
        <v>1</v>
      </c>
      <c r="G50" s="363">
        <v>3769900029931</v>
      </c>
      <c r="H50" s="364">
        <v>216738</v>
      </c>
      <c r="I50" s="307">
        <f t="shared" si="7"/>
        <v>66</v>
      </c>
      <c r="J50" s="306">
        <f t="shared" si="8"/>
        <v>4</v>
      </c>
      <c r="K50" s="306">
        <f t="shared" si="9"/>
        <v>3</v>
      </c>
      <c r="L50" s="306" t="str">
        <f t="shared" si="10"/>
        <v>66 ปี  4 เดือน  3 วัน</v>
      </c>
      <c r="M50" s="365">
        <f t="shared" si="12"/>
        <v>600</v>
      </c>
      <c r="N50" s="365"/>
      <c r="O50" s="379"/>
      <c r="R50" s="172"/>
      <c r="S50" s="114">
        <v>68</v>
      </c>
      <c r="T50" s="98">
        <f>COUNTIF(I228:I297,"68")</f>
        <v>8</v>
      </c>
    </row>
    <row r="51" spans="1:20" ht="21">
      <c r="A51" s="446">
        <v>46</v>
      </c>
      <c r="B51" s="358" t="s">
        <v>30</v>
      </c>
      <c r="C51" s="382" t="s">
        <v>83</v>
      </c>
      <c r="D51" s="383" t="s">
        <v>391</v>
      </c>
      <c r="E51" s="361" t="s">
        <v>392</v>
      </c>
      <c r="F51" s="362">
        <v>1</v>
      </c>
      <c r="G51" s="363">
        <v>3679900001060</v>
      </c>
      <c r="H51" s="364">
        <v>216977</v>
      </c>
      <c r="I51" s="307">
        <f t="shared" si="7"/>
        <v>65</v>
      </c>
      <c r="J51" s="306">
        <f t="shared" si="8"/>
        <v>8</v>
      </c>
      <c r="K51" s="306">
        <f t="shared" si="9"/>
        <v>9</v>
      </c>
      <c r="L51" s="306" t="str">
        <f t="shared" si="10"/>
        <v>65 ปี  8 เดือน  9 วัน</v>
      </c>
      <c r="M51" s="365">
        <f t="shared" si="12"/>
        <v>600</v>
      </c>
      <c r="N51" s="365"/>
      <c r="O51" s="379"/>
      <c r="R51" s="172"/>
      <c r="S51" s="114">
        <v>69</v>
      </c>
      <c r="T51" s="98">
        <f>COUNTIF(I228:I297,"69")</f>
        <v>5</v>
      </c>
    </row>
    <row r="52" spans="1:20" ht="21.75" thickBot="1">
      <c r="A52" s="446"/>
      <c r="B52" s="385"/>
      <c r="C52" s="386" t="s">
        <v>393</v>
      </c>
      <c r="D52" s="387" t="s">
        <v>394</v>
      </c>
      <c r="E52" s="388" t="s">
        <v>132</v>
      </c>
      <c r="F52" s="389">
        <v>1</v>
      </c>
      <c r="G52" s="390" t="s">
        <v>1534</v>
      </c>
      <c r="H52" s="391">
        <v>216061</v>
      </c>
      <c r="I52" s="306">
        <v>0</v>
      </c>
      <c r="J52" s="306">
        <f t="shared" si="8"/>
        <v>2</v>
      </c>
      <c r="K52" s="306">
        <f t="shared" si="9"/>
        <v>10</v>
      </c>
      <c r="L52" s="306" t="str">
        <f t="shared" si="10"/>
        <v>0 ปี  2 เดือน  10 วัน</v>
      </c>
      <c r="M52" s="384">
        <v>0</v>
      </c>
      <c r="N52" s="384"/>
      <c r="O52" s="392" t="s">
        <v>1534</v>
      </c>
      <c r="R52" s="172"/>
      <c r="S52" s="464" t="s">
        <v>25</v>
      </c>
      <c r="T52" s="113">
        <f>SUM(T42:T51)</f>
        <v>70</v>
      </c>
    </row>
    <row r="53" spans="1:20" ht="21.75" thickTop="1">
      <c r="A53" s="446">
        <v>47</v>
      </c>
      <c r="B53" s="358" t="s">
        <v>32</v>
      </c>
      <c r="C53" s="359" t="s">
        <v>145</v>
      </c>
      <c r="D53" s="360" t="s">
        <v>395</v>
      </c>
      <c r="E53" s="361" t="s">
        <v>396</v>
      </c>
      <c r="F53" s="362">
        <v>1</v>
      </c>
      <c r="G53" s="363">
        <v>3100203694086</v>
      </c>
      <c r="H53" s="364">
        <v>216928</v>
      </c>
      <c r="I53" s="307">
        <f t="shared" si="7"/>
        <v>65</v>
      </c>
      <c r="J53" s="306">
        <f t="shared" si="8"/>
        <v>9</v>
      </c>
      <c r="K53" s="306">
        <f t="shared" si="9"/>
        <v>27</v>
      </c>
      <c r="L53" s="306" t="str">
        <f t="shared" si="10"/>
        <v>65 ปี  9 เดือน  27 วัน</v>
      </c>
      <c r="M53" s="365">
        <f aca="true" t="shared" si="13" ref="M53:M84">IF(I53&lt;=69,600,IF(I53&lt;=79,700,IF(I53&lt;=89,800,IF(I53&gt;=90,1000))))</f>
        <v>600</v>
      </c>
      <c r="N53" s="365"/>
      <c r="O53" s="379"/>
      <c r="R53" s="172"/>
      <c r="S53" s="172"/>
      <c r="T53" s="96"/>
    </row>
    <row r="54" spans="1:20" ht="21">
      <c r="A54" s="446">
        <v>48</v>
      </c>
      <c r="B54" s="358" t="s">
        <v>30</v>
      </c>
      <c r="C54" s="382" t="s">
        <v>262</v>
      </c>
      <c r="D54" s="383" t="s">
        <v>397</v>
      </c>
      <c r="E54" s="361" t="s">
        <v>398</v>
      </c>
      <c r="F54" s="362">
        <v>1</v>
      </c>
      <c r="G54" s="363">
        <v>3141400134742</v>
      </c>
      <c r="H54" s="364">
        <v>216592</v>
      </c>
      <c r="I54" s="307">
        <f t="shared" si="7"/>
        <v>66</v>
      </c>
      <c r="J54" s="306">
        <f t="shared" si="8"/>
        <v>8</v>
      </c>
      <c r="K54" s="306">
        <f t="shared" si="9"/>
        <v>29</v>
      </c>
      <c r="L54" s="306" t="str">
        <f t="shared" si="10"/>
        <v>66 ปี  8 เดือน  29 วัน</v>
      </c>
      <c r="M54" s="365">
        <f t="shared" si="13"/>
        <v>600</v>
      </c>
      <c r="N54" s="365"/>
      <c r="O54" s="379"/>
      <c r="Q54" s="101" t="s">
        <v>1384</v>
      </c>
      <c r="R54" s="172"/>
      <c r="S54" s="172"/>
      <c r="T54" s="96"/>
    </row>
    <row r="55" spans="1:23" ht="21">
      <c r="A55" s="446">
        <v>49</v>
      </c>
      <c r="B55" s="358" t="s">
        <v>31</v>
      </c>
      <c r="C55" s="382" t="s">
        <v>167</v>
      </c>
      <c r="D55" s="383" t="s">
        <v>399</v>
      </c>
      <c r="E55" s="361" t="s">
        <v>66</v>
      </c>
      <c r="F55" s="362">
        <v>1</v>
      </c>
      <c r="G55" s="363">
        <v>3730600577595</v>
      </c>
      <c r="H55" s="364">
        <v>216957</v>
      </c>
      <c r="I55" s="307">
        <f t="shared" si="7"/>
        <v>65</v>
      </c>
      <c r="J55" s="306">
        <f t="shared" si="8"/>
        <v>8</v>
      </c>
      <c r="K55" s="306">
        <f t="shared" si="9"/>
        <v>29</v>
      </c>
      <c r="L55" s="306" t="str">
        <f t="shared" si="10"/>
        <v>65 ปี  8 เดือน  29 วัน</v>
      </c>
      <c r="M55" s="365">
        <f t="shared" si="13"/>
        <v>600</v>
      </c>
      <c r="N55" s="365"/>
      <c r="O55" s="379"/>
      <c r="Q55" s="133"/>
      <c r="R55" s="172"/>
      <c r="S55" s="111" t="s">
        <v>0</v>
      </c>
      <c r="T55" s="112" t="s">
        <v>22</v>
      </c>
      <c r="V55" s="113" t="s">
        <v>1</v>
      </c>
      <c r="W55" s="113" t="s">
        <v>22</v>
      </c>
    </row>
    <row r="56" spans="1:25" ht="21">
      <c r="A56" s="446">
        <v>50</v>
      </c>
      <c r="B56" s="358" t="s">
        <v>30</v>
      </c>
      <c r="C56" s="382" t="s">
        <v>400</v>
      </c>
      <c r="D56" s="383" t="s">
        <v>401</v>
      </c>
      <c r="E56" s="361" t="s">
        <v>402</v>
      </c>
      <c r="F56" s="362">
        <v>1</v>
      </c>
      <c r="G56" s="363">
        <v>3102000919379</v>
      </c>
      <c r="H56" s="364">
        <v>216847</v>
      </c>
      <c r="I56" s="307">
        <f t="shared" si="7"/>
        <v>66</v>
      </c>
      <c r="J56" s="306">
        <f t="shared" si="8"/>
        <v>0</v>
      </c>
      <c r="K56" s="306">
        <f t="shared" si="9"/>
        <v>17</v>
      </c>
      <c r="L56" s="306" t="str">
        <f t="shared" si="10"/>
        <v>66 ปี  0 เดือน  17 วัน</v>
      </c>
      <c r="M56" s="365">
        <f t="shared" si="13"/>
        <v>600</v>
      </c>
      <c r="N56" s="365"/>
      <c r="O56" s="379"/>
      <c r="R56" s="172"/>
      <c r="S56" s="114">
        <v>60</v>
      </c>
      <c r="T56" s="98">
        <f>COUNTIF(I298:I341,"60")</f>
        <v>6</v>
      </c>
      <c r="V56" s="115" t="s">
        <v>2</v>
      </c>
      <c r="W56" s="352">
        <f>SUM(T56:T65)</f>
        <v>44</v>
      </c>
      <c r="Y56" s="42" t="s">
        <v>265</v>
      </c>
    </row>
    <row r="57" spans="1:23" ht="21">
      <c r="A57" s="446">
        <v>51</v>
      </c>
      <c r="B57" s="385" t="s">
        <v>30</v>
      </c>
      <c r="C57" s="386" t="s">
        <v>403</v>
      </c>
      <c r="D57" s="387" t="s">
        <v>404</v>
      </c>
      <c r="E57" s="361" t="s">
        <v>405</v>
      </c>
      <c r="F57" s="362">
        <v>1</v>
      </c>
      <c r="G57" s="363">
        <v>3100200685485</v>
      </c>
      <c r="H57" s="364">
        <v>216957</v>
      </c>
      <c r="I57" s="307">
        <f t="shared" si="7"/>
        <v>65</v>
      </c>
      <c r="J57" s="306">
        <f t="shared" si="8"/>
        <v>8</v>
      </c>
      <c r="K57" s="306">
        <f t="shared" si="9"/>
        <v>29</v>
      </c>
      <c r="L57" s="306" t="str">
        <f t="shared" si="10"/>
        <v>65 ปี  8 เดือน  29 วัน</v>
      </c>
      <c r="M57" s="365">
        <f t="shared" si="13"/>
        <v>600</v>
      </c>
      <c r="N57" s="365"/>
      <c r="O57" s="393" t="s">
        <v>1535</v>
      </c>
      <c r="R57" s="172"/>
      <c r="S57" s="114">
        <v>61</v>
      </c>
      <c r="T57" s="98">
        <f>COUNTIF(I298:I341,"61")</f>
        <v>4</v>
      </c>
      <c r="V57" s="115" t="s">
        <v>7</v>
      </c>
      <c r="W57" s="352">
        <v>0</v>
      </c>
    </row>
    <row r="58" spans="1:23" ht="21">
      <c r="A58" s="446">
        <v>52</v>
      </c>
      <c r="B58" s="358" t="s">
        <v>31</v>
      </c>
      <c r="C58" s="382" t="s">
        <v>406</v>
      </c>
      <c r="D58" s="383" t="s">
        <v>407</v>
      </c>
      <c r="E58" s="361" t="s">
        <v>408</v>
      </c>
      <c r="F58" s="362">
        <v>1</v>
      </c>
      <c r="G58" s="363">
        <v>3730600133123</v>
      </c>
      <c r="H58" s="364">
        <v>216677</v>
      </c>
      <c r="I58" s="307">
        <f t="shared" si="7"/>
        <v>66</v>
      </c>
      <c r="J58" s="306">
        <f t="shared" si="8"/>
        <v>6</v>
      </c>
      <c r="K58" s="306">
        <f t="shared" si="9"/>
        <v>3</v>
      </c>
      <c r="L58" s="306" t="str">
        <f t="shared" si="10"/>
        <v>66 ปี  6 เดือน  3 วัน</v>
      </c>
      <c r="M58" s="365">
        <f t="shared" si="13"/>
        <v>600</v>
      </c>
      <c r="N58" s="365"/>
      <c r="O58" s="379"/>
      <c r="P58" s="57"/>
      <c r="Q58" s="133"/>
      <c r="R58" s="172"/>
      <c r="S58" s="114">
        <v>62</v>
      </c>
      <c r="T58" s="98">
        <f>COUNTIF(I298:I341,"62")</f>
        <v>6</v>
      </c>
      <c r="V58" s="115" t="s">
        <v>8</v>
      </c>
      <c r="W58" s="352">
        <v>0</v>
      </c>
    </row>
    <row r="59" spans="1:23" ht="21">
      <c r="A59" s="446">
        <v>53</v>
      </c>
      <c r="B59" s="358" t="s">
        <v>31</v>
      </c>
      <c r="C59" s="382" t="s">
        <v>145</v>
      </c>
      <c r="D59" s="383" t="s">
        <v>409</v>
      </c>
      <c r="E59" s="361" t="s">
        <v>410</v>
      </c>
      <c r="F59" s="362">
        <v>1</v>
      </c>
      <c r="G59" s="363">
        <v>3730600576076</v>
      </c>
      <c r="H59" s="364">
        <v>217441</v>
      </c>
      <c r="I59" s="307">
        <f t="shared" si="7"/>
        <v>64</v>
      </c>
      <c r="J59" s="306">
        <f t="shared" si="8"/>
        <v>5</v>
      </c>
      <c r="K59" s="306">
        <f t="shared" si="9"/>
        <v>0</v>
      </c>
      <c r="L59" s="306" t="str">
        <f t="shared" si="10"/>
        <v>64 ปี  5 เดือน  0 วัน</v>
      </c>
      <c r="M59" s="365">
        <f t="shared" si="13"/>
        <v>600</v>
      </c>
      <c r="N59" s="365"/>
      <c r="O59" s="379"/>
      <c r="R59" s="172"/>
      <c r="S59" s="114">
        <v>63</v>
      </c>
      <c r="T59" s="98">
        <f>COUNTIF(I298:I341,"63")</f>
        <v>8</v>
      </c>
      <c r="V59" s="115" t="s">
        <v>9</v>
      </c>
      <c r="W59" s="352">
        <v>0</v>
      </c>
    </row>
    <row r="60" spans="1:24" s="57" customFormat="1" ht="21">
      <c r="A60" s="446">
        <v>54</v>
      </c>
      <c r="B60" s="358" t="s">
        <v>30</v>
      </c>
      <c r="C60" s="359" t="s">
        <v>411</v>
      </c>
      <c r="D60" s="360" t="s">
        <v>378</v>
      </c>
      <c r="E60" s="361" t="s">
        <v>379</v>
      </c>
      <c r="F60" s="362">
        <v>1</v>
      </c>
      <c r="G60" s="363">
        <v>3730600598916</v>
      </c>
      <c r="H60" s="364">
        <v>217368</v>
      </c>
      <c r="I60" s="307">
        <f t="shared" si="7"/>
        <v>64</v>
      </c>
      <c r="J60" s="306">
        <f t="shared" si="8"/>
        <v>7</v>
      </c>
      <c r="K60" s="306">
        <f t="shared" si="9"/>
        <v>14</v>
      </c>
      <c r="L60" s="306" t="str">
        <f t="shared" si="10"/>
        <v>64 ปี  7 เดือน  14 วัน</v>
      </c>
      <c r="M60" s="365">
        <f t="shared" si="13"/>
        <v>600</v>
      </c>
      <c r="N60" s="365"/>
      <c r="O60" s="379"/>
      <c r="P60" s="42"/>
      <c r="Q60" s="101"/>
      <c r="S60" s="114">
        <v>64</v>
      </c>
      <c r="T60" s="98">
        <f>COUNTIF(I298:I341,"64")</f>
        <v>3</v>
      </c>
      <c r="U60" s="101"/>
      <c r="V60" s="113" t="s">
        <v>25</v>
      </c>
      <c r="W60" s="113">
        <f>SUM(W56:W59)</f>
        <v>44</v>
      </c>
      <c r="X60" s="42"/>
    </row>
    <row r="61" spans="1:24" ht="21">
      <c r="A61" s="446">
        <v>55</v>
      </c>
      <c r="B61" s="358" t="s">
        <v>32</v>
      </c>
      <c r="C61" s="382" t="s">
        <v>412</v>
      </c>
      <c r="D61" s="383" t="s">
        <v>301</v>
      </c>
      <c r="E61" s="361" t="s">
        <v>122</v>
      </c>
      <c r="F61" s="362">
        <v>1</v>
      </c>
      <c r="G61" s="363">
        <v>3730600580022</v>
      </c>
      <c r="H61" s="364">
        <v>217284</v>
      </c>
      <c r="I61" s="307">
        <f t="shared" si="7"/>
        <v>64</v>
      </c>
      <c r="J61" s="306">
        <f t="shared" si="8"/>
        <v>10</v>
      </c>
      <c r="K61" s="306">
        <f t="shared" si="9"/>
        <v>6</v>
      </c>
      <c r="L61" s="306" t="str">
        <f t="shared" si="10"/>
        <v>64 ปี  10 เดือน  6 วัน</v>
      </c>
      <c r="M61" s="365">
        <f t="shared" si="13"/>
        <v>600</v>
      </c>
      <c r="N61" s="365"/>
      <c r="O61" s="379"/>
      <c r="S61" s="114">
        <v>65</v>
      </c>
      <c r="T61" s="98">
        <f>COUNTIF(I298:I341,"65")</f>
        <v>1</v>
      </c>
      <c r="W61" s="116"/>
      <c r="X61" s="57"/>
    </row>
    <row r="62" spans="1:20" ht="21">
      <c r="A62" s="446">
        <v>56</v>
      </c>
      <c r="B62" s="358" t="s">
        <v>31</v>
      </c>
      <c r="C62" s="382" t="s">
        <v>161</v>
      </c>
      <c r="D62" s="383" t="s">
        <v>413</v>
      </c>
      <c r="E62" s="361" t="s">
        <v>414</v>
      </c>
      <c r="F62" s="362">
        <v>1</v>
      </c>
      <c r="G62" s="363">
        <v>3219900308061</v>
      </c>
      <c r="H62" s="364">
        <v>216957</v>
      </c>
      <c r="I62" s="307">
        <f t="shared" si="7"/>
        <v>65</v>
      </c>
      <c r="J62" s="306">
        <f t="shared" si="8"/>
        <v>8</v>
      </c>
      <c r="K62" s="306">
        <f t="shared" si="9"/>
        <v>29</v>
      </c>
      <c r="L62" s="306" t="str">
        <f t="shared" si="10"/>
        <v>65 ปี  8 เดือน  29 วัน</v>
      </c>
      <c r="M62" s="365">
        <f t="shared" si="13"/>
        <v>600</v>
      </c>
      <c r="N62" s="365"/>
      <c r="O62" s="379"/>
      <c r="Q62" s="133">
        <f>SUM(M6:M44)</f>
        <v>23400</v>
      </c>
      <c r="S62" s="114">
        <v>66</v>
      </c>
      <c r="T62" s="98">
        <f>COUNTIF(I298:I341,"66")</f>
        <v>0</v>
      </c>
    </row>
    <row r="63" spans="1:20" ht="21">
      <c r="A63" s="446">
        <v>57</v>
      </c>
      <c r="B63" s="358" t="s">
        <v>31</v>
      </c>
      <c r="C63" s="359" t="s">
        <v>415</v>
      </c>
      <c r="D63" s="360" t="s">
        <v>416</v>
      </c>
      <c r="E63" s="361" t="s">
        <v>417</v>
      </c>
      <c r="F63" s="362">
        <v>1</v>
      </c>
      <c r="G63" s="363">
        <v>3250200881224</v>
      </c>
      <c r="H63" s="364">
        <v>216957</v>
      </c>
      <c r="I63" s="307">
        <f t="shared" si="7"/>
        <v>65</v>
      </c>
      <c r="J63" s="306">
        <f t="shared" si="8"/>
        <v>8</v>
      </c>
      <c r="K63" s="306">
        <f t="shared" si="9"/>
        <v>29</v>
      </c>
      <c r="L63" s="306" t="str">
        <f t="shared" si="10"/>
        <v>65 ปี  8 เดือน  29 วัน</v>
      </c>
      <c r="M63" s="365">
        <f t="shared" si="13"/>
        <v>600</v>
      </c>
      <c r="N63" s="365"/>
      <c r="O63" s="379"/>
      <c r="Q63" s="133"/>
      <c r="S63" s="114">
        <v>67</v>
      </c>
      <c r="T63" s="98">
        <f>COUNTIF(I298:I341,"67")</f>
        <v>5</v>
      </c>
    </row>
    <row r="64" spans="1:20" ht="21">
      <c r="A64" s="446">
        <v>58</v>
      </c>
      <c r="B64" s="358" t="s">
        <v>31</v>
      </c>
      <c r="C64" s="382" t="s">
        <v>418</v>
      </c>
      <c r="D64" s="383" t="s">
        <v>331</v>
      </c>
      <c r="E64" s="361" t="s">
        <v>332</v>
      </c>
      <c r="F64" s="362">
        <v>1</v>
      </c>
      <c r="G64" s="363">
        <v>3330900211573</v>
      </c>
      <c r="H64" s="364">
        <v>217324</v>
      </c>
      <c r="I64" s="307">
        <f t="shared" si="7"/>
        <v>64</v>
      </c>
      <c r="J64" s="306">
        <f t="shared" si="8"/>
        <v>8</v>
      </c>
      <c r="K64" s="306">
        <f t="shared" si="9"/>
        <v>27</v>
      </c>
      <c r="L64" s="306" t="str">
        <f t="shared" si="10"/>
        <v>64 ปี  8 เดือน  27 วัน</v>
      </c>
      <c r="M64" s="365">
        <f t="shared" si="13"/>
        <v>600</v>
      </c>
      <c r="N64" s="365"/>
      <c r="O64" s="379"/>
      <c r="S64" s="114">
        <v>68</v>
      </c>
      <c r="T64" s="98">
        <f>COUNTIF(I298:I341,"68")</f>
        <v>7</v>
      </c>
    </row>
    <row r="65" spans="1:20" ht="21">
      <c r="A65" s="446">
        <v>59</v>
      </c>
      <c r="B65" s="358" t="s">
        <v>31</v>
      </c>
      <c r="C65" s="359" t="s">
        <v>419</v>
      </c>
      <c r="D65" s="360" t="s">
        <v>420</v>
      </c>
      <c r="E65" s="361" t="s">
        <v>332</v>
      </c>
      <c r="F65" s="362">
        <v>1</v>
      </c>
      <c r="G65" s="363">
        <v>3100904679831</v>
      </c>
      <c r="H65" s="364">
        <v>217473</v>
      </c>
      <c r="I65" s="307">
        <f t="shared" si="7"/>
        <v>64</v>
      </c>
      <c r="J65" s="306">
        <f t="shared" si="8"/>
        <v>3</v>
      </c>
      <c r="K65" s="306">
        <f t="shared" si="9"/>
        <v>29</v>
      </c>
      <c r="L65" s="306" t="str">
        <f t="shared" si="10"/>
        <v>64 ปี  3 เดือน  29 วัน</v>
      </c>
      <c r="M65" s="365">
        <f t="shared" si="13"/>
        <v>600</v>
      </c>
      <c r="N65" s="365"/>
      <c r="O65" s="379"/>
      <c r="S65" s="114">
        <v>69</v>
      </c>
      <c r="T65" s="98">
        <f>COUNTIF(I298:I341,"69")</f>
        <v>4</v>
      </c>
    </row>
    <row r="66" spans="1:20" ht="21.75" thickBot="1">
      <c r="A66" s="446">
        <v>60</v>
      </c>
      <c r="B66" s="358" t="s">
        <v>32</v>
      </c>
      <c r="C66" s="359" t="s">
        <v>198</v>
      </c>
      <c r="D66" s="360" t="s">
        <v>421</v>
      </c>
      <c r="E66" s="361" t="s">
        <v>356</v>
      </c>
      <c r="F66" s="362">
        <v>1</v>
      </c>
      <c r="G66" s="363">
        <v>3730300660136</v>
      </c>
      <c r="H66" s="364">
        <v>217548</v>
      </c>
      <c r="I66" s="307">
        <f t="shared" si="7"/>
        <v>64</v>
      </c>
      <c r="J66" s="306">
        <f t="shared" si="8"/>
        <v>1</v>
      </c>
      <c r="K66" s="306">
        <f t="shared" si="9"/>
        <v>15</v>
      </c>
      <c r="L66" s="306" t="str">
        <f t="shared" si="10"/>
        <v>64 ปี  1 เดือน  15 วัน</v>
      </c>
      <c r="M66" s="365">
        <f t="shared" si="13"/>
        <v>600</v>
      </c>
      <c r="N66" s="365"/>
      <c r="O66" s="379"/>
      <c r="S66" s="464" t="s">
        <v>25</v>
      </c>
      <c r="T66" s="113">
        <f>SUM(T56:T65)</f>
        <v>44</v>
      </c>
    </row>
    <row r="67" spans="1:20" ht="21.75" thickTop="1">
      <c r="A67" s="446">
        <v>61</v>
      </c>
      <c r="B67" s="358" t="s">
        <v>31</v>
      </c>
      <c r="C67" s="382" t="s">
        <v>422</v>
      </c>
      <c r="D67" s="383" t="s">
        <v>423</v>
      </c>
      <c r="E67" s="361" t="s">
        <v>424</v>
      </c>
      <c r="F67" s="362">
        <v>1</v>
      </c>
      <c r="G67" s="363">
        <v>3739900309462</v>
      </c>
      <c r="H67" s="364">
        <v>217015</v>
      </c>
      <c r="I67" s="307">
        <f t="shared" si="7"/>
        <v>65</v>
      </c>
      <c r="J67" s="306">
        <f t="shared" si="8"/>
        <v>7</v>
      </c>
      <c r="K67" s="306">
        <f t="shared" si="9"/>
        <v>2</v>
      </c>
      <c r="L67" s="306" t="str">
        <f t="shared" si="10"/>
        <v>65 ปี  7 เดือน  2 วัน</v>
      </c>
      <c r="M67" s="365">
        <f t="shared" si="13"/>
        <v>600</v>
      </c>
      <c r="N67" s="365"/>
      <c r="O67" s="379"/>
      <c r="S67" s="172"/>
      <c r="T67" s="96"/>
    </row>
    <row r="68" spans="1:20" ht="21">
      <c r="A68" s="446">
        <v>62</v>
      </c>
      <c r="B68" s="358" t="s">
        <v>32</v>
      </c>
      <c r="C68" s="359" t="s">
        <v>90</v>
      </c>
      <c r="D68" s="360" t="s">
        <v>407</v>
      </c>
      <c r="E68" s="361" t="s">
        <v>425</v>
      </c>
      <c r="F68" s="362">
        <v>1</v>
      </c>
      <c r="G68" s="363">
        <v>3730600578958</v>
      </c>
      <c r="H68" s="364">
        <v>217295</v>
      </c>
      <c r="I68" s="307">
        <f aca="true" t="shared" si="14" ref="I68:I99">DATEDIF(H68,$S$20,"Y")</f>
        <v>64</v>
      </c>
      <c r="J68" s="306">
        <f aca="true" t="shared" si="15" ref="J68:J99">DATEDIF(H68,$S$20,"YM")</f>
        <v>9</v>
      </c>
      <c r="K68" s="306">
        <f aca="true" t="shared" si="16" ref="K68:K99">DATEDIF(H68,$S$20,"MD")</f>
        <v>25</v>
      </c>
      <c r="L68" s="306" t="str">
        <f aca="true" t="shared" si="17" ref="L68:L99">I68&amp;" ปี  "&amp;J68&amp;" เดือน  "&amp;K68&amp;" วัน"</f>
        <v>64 ปี  9 เดือน  25 วัน</v>
      </c>
      <c r="M68" s="365">
        <f t="shared" si="13"/>
        <v>600</v>
      </c>
      <c r="N68" s="365"/>
      <c r="O68" s="379"/>
      <c r="R68" s="120"/>
      <c r="S68" s="172"/>
      <c r="T68" s="96"/>
    </row>
    <row r="69" spans="1:23" ht="21">
      <c r="A69" s="446">
        <v>63</v>
      </c>
      <c r="B69" s="358" t="s">
        <v>30</v>
      </c>
      <c r="C69" s="382" t="s">
        <v>426</v>
      </c>
      <c r="D69" s="383" t="s">
        <v>427</v>
      </c>
      <c r="E69" s="361" t="s">
        <v>428</v>
      </c>
      <c r="F69" s="362">
        <v>1</v>
      </c>
      <c r="G69" s="363">
        <v>3730300920774</v>
      </c>
      <c r="H69" s="364">
        <v>217322</v>
      </c>
      <c r="I69" s="307">
        <f t="shared" si="14"/>
        <v>64</v>
      </c>
      <c r="J69" s="306">
        <f t="shared" si="15"/>
        <v>8</v>
      </c>
      <c r="K69" s="306">
        <f t="shared" si="16"/>
        <v>29</v>
      </c>
      <c r="L69" s="306" t="str">
        <f t="shared" si="17"/>
        <v>64 ปี  8 เดือน  29 วัน</v>
      </c>
      <c r="M69" s="365">
        <f t="shared" si="13"/>
        <v>600</v>
      </c>
      <c r="N69" s="365"/>
      <c r="O69" s="379"/>
      <c r="R69" s="120"/>
      <c r="S69" s="111" t="s">
        <v>0</v>
      </c>
      <c r="T69" s="112" t="s">
        <v>22</v>
      </c>
      <c r="V69" s="113" t="s">
        <v>1</v>
      </c>
      <c r="W69" s="113" t="s">
        <v>22</v>
      </c>
    </row>
    <row r="70" spans="1:23" ht="21">
      <c r="A70" s="446">
        <v>64</v>
      </c>
      <c r="B70" s="358" t="s">
        <v>31</v>
      </c>
      <c r="C70" s="380" t="s">
        <v>264</v>
      </c>
      <c r="D70" s="381" t="s">
        <v>429</v>
      </c>
      <c r="E70" s="361" t="s">
        <v>430</v>
      </c>
      <c r="F70" s="362">
        <v>1</v>
      </c>
      <c r="G70" s="363">
        <v>3540200488708</v>
      </c>
      <c r="H70" s="364">
        <v>217291</v>
      </c>
      <c r="I70" s="307">
        <f t="shared" si="14"/>
        <v>64</v>
      </c>
      <c r="J70" s="306">
        <f t="shared" si="15"/>
        <v>9</v>
      </c>
      <c r="K70" s="306">
        <f t="shared" si="16"/>
        <v>29</v>
      </c>
      <c r="L70" s="306" t="str">
        <f t="shared" si="17"/>
        <v>64 ปี  9 เดือน  29 วัน</v>
      </c>
      <c r="M70" s="365">
        <f t="shared" si="13"/>
        <v>600</v>
      </c>
      <c r="N70" s="365"/>
      <c r="O70" s="379"/>
      <c r="Q70" s="119"/>
      <c r="R70" s="119"/>
      <c r="S70" s="114">
        <v>60</v>
      </c>
      <c r="T70" s="98">
        <f>COUNTIF(I342:I363,"60")</f>
        <v>3</v>
      </c>
      <c r="V70" s="115" t="s">
        <v>2</v>
      </c>
      <c r="W70" s="352">
        <f>SUM(T70:T79)</f>
        <v>22</v>
      </c>
    </row>
    <row r="71" spans="1:25" ht="21">
      <c r="A71" s="446">
        <v>65</v>
      </c>
      <c r="B71" s="358" t="s">
        <v>30</v>
      </c>
      <c r="C71" s="359" t="s">
        <v>433</v>
      </c>
      <c r="D71" s="360" t="s">
        <v>431</v>
      </c>
      <c r="E71" s="361" t="s">
        <v>432</v>
      </c>
      <c r="F71" s="394">
        <v>1</v>
      </c>
      <c r="G71" s="363">
        <v>3100400286525</v>
      </c>
      <c r="H71" s="364">
        <v>217454</v>
      </c>
      <c r="I71" s="307">
        <f t="shared" si="14"/>
        <v>64</v>
      </c>
      <c r="J71" s="306">
        <f t="shared" si="15"/>
        <v>4</v>
      </c>
      <c r="K71" s="306">
        <f t="shared" si="16"/>
        <v>17</v>
      </c>
      <c r="L71" s="306" t="str">
        <f t="shared" si="17"/>
        <v>64 ปี  4 เดือน  17 วัน</v>
      </c>
      <c r="M71" s="365">
        <f t="shared" si="13"/>
        <v>600</v>
      </c>
      <c r="N71" s="365"/>
      <c r="O71" s="379"/>
      <c r="S71" s="114">
        <v>61</v>
      </c>
      <c r="T71" s="98">
        <f>COUNTIF(I342:I363,"61")</f>
        <v>3</v>
      </c>
      <c r="V71" s="115" t="s">
        <v>7</v>
      </c>
      <c r="W71" s="352">
        <v>0</v>
      </c>
      <c r="Y71" s="42" t="s">
        <v>268</v>
      </c>
    </row>
    <row r="72" spans="1:23" ht="21">
      <c r="A72" s="446">
        <v>66</v>
      </c>
      <c r="B72" s="358" t="s">
        <v>31</v>
      </c>
      <c r="C72" s="359" t="s">
        <v>434</v>
      </c>
      <c r="D72" s="360" t="s">
        <v>435</v>
      </c>
      <c r="E72" s="361" t="s">
        <v>436</v>
      </c>
      <c r="F72" s="394">
        <v>1</v>
      </c>
      <c r="G72" s="363">
        <v>3102002407383</v>
      </c>
      <c r="H72" s="364">
        <v>217412</v>
      </c>
      <c r="I72" s="307">
        <f t="shared" si="14"/>
        <v>64</v>
      </c>
      <c r="J72" s="306">
        <f t="shared" si="15"/>
        <v>5</v>
      </c>
      <c r="K72" s="306">
        <f t="shared" si="16"/>
        <v>29</v>
      </c>
      <c r="L72" s="306" t="str">
        <f t="shared" si="17"/>
        <v>64 ปี  5 เดือน  29 วัน</v>
      </c>
      <c r="M72" s="365">
        <f t="shared" si="13"/>
        <v>600</v>
      </c>
      <c r="N72" s="365"/>
      <c r="O72" s="379"/>
      <c r="S72" s="114">
        <v>62</v>
      </c>
      <c r="T72" s="98">
        <f>COUNTIF(I342:I363,"62")</f>
        <v>0</v>
      </c>
      <c r="V72" s="115" t="s">
        <v>8</v>
      </c>
      <c r="W72" s="352">
        <v>0</v>
      </c>
    </row>
    <row r="73" spans="1:23" ht="21">
      <c r="A73" s="446">
        <v>67</v>
      </c>
      <c r="B73" s="358" t="s">
        <v>30</v>
      </c>
      <c r="C73" s="380" t="s">
        <v>437</v>
      </c>
      <c r="D73" s="381" t="s">
        <v>438</v>
      </c>
      <c r="E73" s="361" t="s">
        <v>439</v>
      </c>
      <c r="F73" s="394">
        <v>1</v>
      </c>
      <c r="G73" s="363">
        <v>3101203454027</v>
      </c>
      <c r="H73" s="364">
        <v>217447</v>
      </c>
      <c r="I73" s="307">
        <f t="shared" si="14"/>
        <v>64</v>
      </c>
      <c r="J73" s="306">
        <f t="shared" si="15"/>
        <v>4</v>
      </c>
      <c r="K73" s="306">
        <f t="shared" si="16"/>
        <v>24</v>
      </c>
      <c r="L73" s="306" t="str">
        <f t="shared" si="17"/>
        <v>64 ปี  4 เดือน  24 วัน</v>
      </c>
      <c r="M73" s="365">
        <f t="shared" si="13"/>
        <v>600</v>
      </c>
      <c r="N73" s="365"/>
      <c r="O73" s="379"/>
      <c r="S73" s="114">
        <v>63</v>
      </c>
      <c r="T73" s="98">
        <f>COUNTIF(I342:I363,"63")</f>
        <v>3</v>
      </c>
      <c r="V73" s="115" t="s">
        <v>9</v>
      </c>
      <c r="W73" s="352">
        <v>0</v>
      </c>
    </row>
    <row r="74" spans="1:23" ht="21">
      <c r="A74" s="446">
        <v>68</v>
      </c>
      <c r="B74" s="358" t="s">
        <v>32</v>
      </c>
      <c r="C74" s="359" t="s">
        <v>440</v>
      </c>
      <c r="D74" s="360" t="s">
        <v>441</v>
      </c>
      <c r="E74" s="361" t="s">
        <v>442</v>
      </c>
      <c r="F74" s="394">
        <v>1</v>
      </c>
      <c r="G74" s="363">
        <v>3540600413781</v>
      </c>
      <c r="H74" s="364">
        <v>217470</v>
      </c>
      <c r="I74" s="307">
        <f t="shared" si="14"/>
        <v>64</v>
      </c>
      <c r="J74" s="306">
        <f t="shared" si="15"/>
        <v>4</v>
      </c>
      <c r="K74" s="306">
        <f t="shared" si="16"/>
        <v>1</v>
      </c>
      <c r="L74" s="306" t="str">
        <f t="shared" si="17"/>
        <v>64 ปี  4 เดือน  1 วัน</v>
      </c>
      <c r="M74" s="365">
        <f t="shared" si="13"/>
        <v>600</v>
      </c>
      <c r="N74" s="365"/>
      <c r="O74" s="379"/>
      <c r="S74" s="114">
        <v>64</v>
      </c>
      <c r="T74" s="98">
        <f>COUNTIF(I342:I363,"64")</f>
        <v>0</v>
      </c>
      <c r="V74" s="113" t="s">
        <v>25</v>
      </c>
      <c r="W74" s="113">
        <f>SUM(W70:W73)</f>
        <v>22</v>
      </c>
    </row>
    <row r="75" spans="1:23" ht="21">
      <c r="A75" s="446">
        <v>69</v>
      </c>
      <c r="B75" s="358" t="s">
        <v>32</v>
      </c>
      <c r="C75" s="359" t="s">
        <v>445</v>
      </c>
      <c r="D75" s="360" t="s">
        <v>446</v>
      </c>
      <c r="E75" s="361" t="s">
        <v>447</v>
      </c>
      <c r="F75" s="394">
        <v>1</v>
      </c>
      <c r="G75" s="363">
        <v>3209900361311</v>
      </c>
      <c r="H75" s="364">
        <v>217231</v>
      </c>
      <c r="I75" s="307">
        <f t="shared" si="14"/>
        <v>64</v>
      </c>
      <c r="J75" s="306">
        <f t="shared" si="15"/>
        <v>11</v>
      </c>
      <c r="K75" s="306">
        <f t="shared" si="16"/>
        <v>28</v>
      </c>
      <c r="L75" s="306" t="str">
        <f t="shared" si="17"/>
        <v>64 ปี  11 เดือน  28 วัน</v>
      </c>
      <c r="M75" s="365">
        <f t="shared" si="13"/>
        <v>600</v>
      </c>
      <c r="N75" s="365"/>
      <c r="O75" s="379"/>
      <c r="S75" s="114">
        <v>65</v>
      </c>
      <c r="T75" s="98">
        <f>COUNTIF(I342:I363,"65")</f>
        <v>5</v>
      </c>
      <c r="W75" s="116"/>
    </row>
    <row r="76" spans="1:20" ht="21">
      <c r="A76" s="446">
        <v>70</v>
      </c>
      <c r="B76" s="358" t="s">
        <v>30</v>
      </c>
      <c r="C76" s="359" t="s">
        <v>448</v>
      </c>
      <c r="D76" s="360" t="s">
        <v>449</v>
      </c>
      <c r="E76" s="361" t="s">
        <v>190</v>
      </c>
      <c r="F76" s="394">
        <v>1</v>
      </c>
      <c r="G76" s="363">
        <v>3100501590289</v>
      </c>
      <c r="H76" s="364">
        <v>216592</v>
      </c>
      <c r="I76" s="307">
        <f t="shared" si="14"/>
        <v>66</v>
      </c>
      <c r="J76" s="306">
        <f t="shared" si="15"/>
        <v>8</v>
      </c>
      <c r="K76" s="306">
        <f t="shared" si="16"/>
        <v>29</v>
      </c>
      <c r="L76" s="306" t="str">
        <f t="shared" si="17"/>
        <v>66 ปี  8 เดือน  29 วัน</v>
      </c>
      <c r="M76" s="365">
        <f t="shared" si="13"/>
        <v>600</v>
      </c>
      <c r="N76" s="365"/>
      <c r="O76" s="379"/>
      <c r="S76" s="114">
        <v>66</v>
      </c>
      <c r="T76" s="98">
        <f>COUNTIF(I342:I363,"66")</f>
        <v>1</v>
      </c>
    </row>
    <row r="77" spans="1:20" ht="21">
      <c r="A77" s="446">
        <v>71</v>
      </c>
      <c r="B77" s="358" t="s">
        <v>32</v>
      </c>
      <c r="C77" s="359" t="s">
        <v>450</v>
      </c>
      <c r="D77" s="360" t="s">
        <v>451</v>
      </c>
      <c r="E77" s="361" t="s">
        <v>281</v>
      </c>
      <c r="F77" s="394">
        <v>1</v>
      </c>
      <c r="G77" s="363">
        <v>3730600576254</v>
      </c>
      <c r="H77" s="364">
        <v>217293</v>
      </c>
      <c r="I77" s="307">
        <f t="shared" si="14"/>
        <v>64</v>
      </c>
      <c r="J77" s="306">
        <f t="shared" si="15"/>
        <v>9</v>
      </c>
      <c r="K77" s="306">
        <f t="shared" si="16"/>
        <v>27</v>
      </c>
      <c r="L77" s="306" t="str">
        <f t="shared" si="17"/>
        <v>64 ปี  9 เดือน  27 วัน</v>
      </c>
      <c r="M77" s="365">
        <f t="shared" si="13"/>
        <v>600</v>
      </c>
      <c r="N77" s="365"/>
      <c r="O77" s="366"/>
      <c r="S77" s="114">
        <v>67</v>
      </c>
      <c r="T77" s="98">
        <f>COUNTIF(I342:I363,"67")</f>
        <v>3</v>
      </c>
    </row>
    <row r="78" spans="1:20" ht="21">
      <c r="A78" s="446">
        <v>72</v>
      </c>
      <c r="B78" s="358" t="s">
        <v>31</v>
      </c>
      <c r="C78" s="359" t="s">
        <v>452</v>
      </c>
      <c r="D78" s="360" t="s">
        <v>453</v>
      </c>
      <c r="E78" s="361" t="s">
        <v>454</v>
      </c>
      <c r="F78" s="394">
        <v>1</v>
      </c>
      <c r="G78" s="363">
        <v>3730600597766</v>
      </c>
      <c r="H78" s="364">
        <v>217322</v>
      </c>
      <c r="I78" s="307">
        <f t="shared" si="14"/>
        <v>64</v>
      </c>
      <c r="J78" s="306">
        <f t="shared" si="15"/>
        <v>8</v>
      </c>
      <c r="K78" s="306">
        <f t="shared" si="16"/>
        <v>29</v>
      </c>
      <c r="L78" s="306" t="str">
        <f t="shared" si="17"/>
        <v>64 ปี  8 เดือน  29 วัน</v>
      </c>
      <c r="M78" s="365">
        <f t="shared" si="13"/>
        <v>600</v>
      </c>
      <c r="N78" s="365"/>
      <c r="O78" s="366"/>
      <c r="S78" s="114">
        <v>68</v>
      </c>
      <c r="T78" s="98">
        <f>COUNTIF(I342:I363,"68")</f>
        <v>2</v>
      </c>
    </row>
    <row r="79" spans="1:24" s="57" customFormat="1" ht="21">
      <c r="A79" s="446">
        <v>73</v>
      </c>
      <c r="B79" s="358" t="s">
        <v>30</v>
      </c>
      <c r="C79" s="359" t="s">
        <v>455</v>
      </c>
      <c r="D79" s="360" t="s">
        <v>456</v>
      </c>
      <c r="E79" s="361" t="s">
        <v>457</v>
      </c>
      <c r="F79" s="394">
        <v>1</v>
      </c>
      <c r="G79" s="363">
        <v>3102002331913</v>
      </c>
      <c r="H79" s="364">
        <v>217390</v>
      </c>
      <c r="I79" s="307">
        <f t="shared" si="14"/>
        <v>64</v>
      </c>
      <c r="J79" s="306">
        <f t="shared" si="15"/>
        <v>6</v>
      </c>
      <c r="K79" s="306">
        <f t="shared" si="16"/>
        <v>20</v>
      </c>
      <c r="L79" s="306" t="str">
        <f t="shared" si="17"/>
        <v>64 ปี  6 เดือน  20 วัน</v>
      </c>
      <c r="M79" s="365">
        <f t="shared" si="13"/>
        <v>600</v>
      </c>
      <c r="N79" s="365"/>
      <c r="O79" s="367"/>
      <c r="P79" s="42"/>
      <c r="Q79" s="101"/>
      <c r="R79" s="101"/>
      <c r="S79" s="114">
        <v>69</v>
      </c>
      <c r="T79" s="98">
        <f>COUNTIF(I342:I363,"69")</f>
        <v>2</v>
      </c>
      <c r="U79" s="101"/>
      <c r="V79" s="101"/>
      <c r="W79" s="101"/>
      <c r="X79" s="42"/>
    </row>
    <row r="80" spans="1:20" ht="21.75" thickBot="1">
      <c r="A80" s="446">
        <v>74</v>
      </c>
      <c r="B80" s="358" t="s">
        <v>30</v>
      </c>
      <c r="C80" s="359" t="s">
        <v>152</v>
      </c>
      <c r="D80" s="360" t="s">
        <v>282</v>
      </c>
      <c r="E80" s="361" t="s">
        <v>281</v>
      </c>
      <c r="F80" s="394">
        <v>1</v>
      </c>
      <c r="G80" s="363">
        <v>3730600576301</v>
      </c>
      <c r="H80" s="364">
        <v>216957</v>
      </c>
      <c r="I80" s="307">
        <f t="shared" si="14"/>
        <v>65</v>
      </c>
      <c r="J80" s="306">
        <f t="shared" si="15"/>
        <v>8</v>
      </c>
      <c r="K80" s="306">
        <f t="shared" si="16"/>
        <v>29</v>
      </c>
      <c r="L80" s="306" t="str">
        <f t="shared" si="17"/>
        <v>65 ปี  8 เดือน  29 วัน</v>
      </c>
      <c r="M80" s="365">
        <f t="shared" si="13"/>
        <v>600</v>
      </c>
      <c r="N80" s="365"/>
      <c r="O80" s="367"/>
      <c r="P80" s="57"/>
      <c r="S80" s="464" t="s">
        <v>25</v>
      </c>
      <c r="T80" s="113">
        <f>SUM(T70:T79)</f>
        <v>22</v>
      </c>
    </row>
    <row r="81" spans="1:16" ht="21.75" thickTop="1">
      <c r="A81" s="446">
        <v>75</v>
      </c>
      <c r="B81" s="358" t="s">
        <v>31</v>
      </c>
      <c r="C81" s="359" t="s">
        <v>246</v>
      </c>
      <c r="D81" s="360" t="s">
        <v>458</v>
      </c>
      <c r="E81" s="361" t="s">
        <v>459</v>
      </c>
      <c r="F81" s="394">
        <v>1</v>
      </c>
      <c r="G81" s="363">
        <v>3620101250231</v>
      </c>
      <c r="H81" s="364">
        <v>217687</v>
      </c>
      <c r="I81" s="307">
        <f t="shared" si="14"/>
        <v>63</v>
      </c>
      <c r="J81" s="306">
        <f t="shared" si="15"/>
        <v>8</v>
      </c>
      <c r="K81" s="306">
        <f t="shared" si="16"/>
        <v>29</v>
      </c>
      <c r="L81" s="306" t="str">
        <f t="shared" si="17"/>
        <v>63 ปี  8 เดือน  29 วัน</v>
      </c>
      <c r="M81" s="365">
        <f t="shared" si="13"/>
        <v>600</v>
      </c>
      <c r="N81" s="365"/>
      <c r="O81" s="367"/>
      <c r="P81" s="57"/>
    </row>
    <row r="82" spans="1:24" ht="21">
      <c r="A82" s="446">
        <v>76</v>
      </c>
      <c r="B82" s="358" t="s">
        <v>31</v>
      </c>
      <c r="C82" s="359" t="s">
        <v>461</v>
      </c>
      <c r="D82" s="360" t="s">
        <v>462</v>
      </c>
      <c r="E82" s="361" t="s">
        <v>463</v>
      </c>
      <c r="F82" s="394">
        <v>1</v>
      </c>
      <c r="G82" s="363">
        <v>3730600576114</v>
      </c>
      <c r="H82" s="364">
        <v>217937</v>
      </c>
      <c r="I82" s="307">
        <f t="shared" si="14"/>
        <v>63</v>
      </c>
      <c r="J82" s="306">
        <f t="shared" si="15"/>
        <v>0</v>
      </c>
      <c r="K82" s="306">
        <f t="shared" si="16"/>
        <v>23</v>
      </c>
      <c r="L82" s="306" t="str">
        <f t="shared" si="17"/>
        <v>63 ปี  0 เดือน  23 วัน</v>
      </c>
      <c r="M82" s="365">
        <f t="shared" si="13"/>
        <v>600</v>
      </c>
      <c r="N82" s="365"/>
      <c r="O82" s="379"/>
      <c r="P82" s="57"/>
      <c r="R82" s="119"/>
      <c r="S82" s="119"/>
      <c r="T82" s="119"/>
      <c r="U82" s="119"/>
      <c r="V82" s="119"/>
      <c r="X82" s="57"/>
    </row>
    <row r="83" spans="1:24" ht="21">
      <c r="A83" s="446">
        <v>77</v>
      </c>
      <c r="B83" s="358" t="s">
        <v>32</v>
      </c>
      <c r="C83" s="380" t="s">
        <v>464</v>
      </c>
      <c r="D83" s="381" t="s">
        <v>285</v>
      </c>
      <c r="E83" s="361" t="s">
        <v>64</v>
      </c>
      <c r="F83" s="394">
        <v>1</v>
      </c>
      <c r="G83" s="363">
        <v>3730600576751</v>
      </c>
      <c r="H83" s="364">
        <v>217322</v>
      </c>
      <c r="I83" s="307">
        <f t="shared" si="14"/>
        <v>64</v>
      </c>
      <c r="J83" s="306">
        <f t="shared" si="15"/>
        <v>8</v>
      </c>
      <c r="K83" s="306">
        <f t="shared" si="16"/>
        <v>29</v>
      </c>
      <c r="L83" s="306" t="str">
        <f t="shared" si="17"/>
        <v>64 ปี  8 เดือน  29 วัน</v>
      </c>
      <c r="M83" s="365">
        <f t="shared" si="13"/>
        <v>600</v>
      </c>
      <c r="N83" s="365"/>
      <c r="O83" s="367"/>
      <c r="P83" s="57"/>
      <c r="Q83" s="133"/>
      <c r="R83" s="119"/>
      <c r="S83" s="111" t="s">
        <v>0</v>
      </c>
      <c r="T83" s="112" t="s">
        <v>22</v>
      </c>
      <c r="V83" s="113" t="s">
        <v>1</v>
      </c>
      <c r="W83" s="113" t="s">
        <v>22</v>
      </c>
      <c r="X83" s="57"/>
    </row>
    <row r="84" spans="1:25" ht="21">
      <c r="A84" s="446">
        <v>78</v>
      </c>
      <c r="B84" s="358" t="s">
        <v>31</v>
      </c>
      <c r="C84" s="359" t="s">
        <v>90</v>
      </c>
      <c r="D84" s="360" t="s">
        <v>407</v>
      </c>
      <c r="E84" s="361" t="s">
        <v>425</v>
      </c>
      <c r="F84" s="394">
        <v>1</v>
      </c>
      <c r="G84" s="363">
        <v>3730600578125</v>
      </c>
      <c r="H84" s="364">
        <v>217855</v>
      </c>
      <c r="I84" s="307">
        <f t="shared" si="14"/>
        <v>63</v>
      </c>
      <c r="J84" s="306">
        <f t="shared" si="15"/>
        <v>3</v>
      </c>
      <c r="K84" s="306">
        <f t="shared" si="16"/>
        <v>13</v>
      </c>
      <c r="L84" s="306" t="str">
        <f t="shared" si="17"/>
        <v>63 ปี  3 เดือน  13 วัน</v>
      </c>
      <c r="M84" s="365">
        <f t="shared" si="13"/>
        <v>600</v>
      </c>
      <c r="N84" s="365"/>
      <c r="O84" s="379"/>
      <c r="P84" s="57"/>
      <c r="R84" s="119"/>
      <c r="S84" s="114">
        <v>60</v>
      </c>
      <c r="T84" s="98">
        <f>COUNTIF(I364:I417,"60")</f>
        <v>2</v>
      </c>
      <c r="V84" s="115" t="s">
        <v>2</v>
      </c>
      <c r="W84" s="352">
        <f>SUM(T84:T93)</f>
        <v>53</v>
      </c>
      <c r="X84" s="57"/>
      <c r="Y84" s="42" t="s">
        <v>1179</v>
      </c>
    </row>
    <row r="85" spans="1:24" ht="21">
      <c r="A85" s="446"/>
      <c r="B85" s="385"/>
      <c r="C85" s="395" t="s">
        <v>205</v>
      </c>
      <c r="D85" s="396" t="s">
        <v>465</v>
      </c>
      <c r="E85" s="388" t="s">
        <v>466</v>
      </c>
      <c r="F85" s="397">
        <v>1</v>
      </c>
      <c r="G85" s="390" t="s">
        <v>1534</v>
      </c>
      <c r="H85" s="391">
        <v>217848</v>
      </c>
      <c r="I85" s="306">
        <v>0</v>
      </c>
      <c r="J85" s="306">
        <f t="shared" si="15"/>
        <v>3</v>
      </c>
      <c r="K85" s="306">
        <f t="shared" si="16"/>
        <v>20</v>
      </c>
      <c r="L85" s="306" t="str">
        <f t="shared" si="17"/>
        <v>0 ปี  3 เดือน  20 วัน</v>
      </c>
      <c r="M85" s="384">
        <v>0</v>
      </c>
      <c r="N85" s="384"/>
      <c r="O85" s="392" t="s">
        <v>1197</v>
      </c>
      <c r="P85" s="57"/>
      <c r="Q85" s="349" t="s">
        <v>1536</v>
      </c>
      <c r="R85" s="119"/>
      <c r="S85" s="114">
        <v>61</v>
      </c>
      <c r="T85" s="98">
        <f>COUNTIF(I364:I417,"61")</f>
        <v>11</v>
      </c>
      <c r="V85" s="115" t="s">
        <v>7</v>
      </c>
      <c r="W85" s="352">
        <v>0</v>
      </c>
      <c r="X85" s="57"/>
    </row>
    <row r="86" spans="1:24" ht="21">
      <c r="A86" s="446">
        <v>79</v>
      </c>
      <c r="B86" s="358" t="s">
        <v>31</v>
      </c>
      <c r="C86" s="359" t="s">
        <v>467</v>
      </c>
      <c r="D86" s="360" t="s">
        <v>468</v>
      </c>
      <c r="E86" s="361" t="s">
        <v>469</v>
      </c>
      <c r="F86" s="394">
        <v>1</v>
      </c>
      <c r="G86" s="363">
        <v>3102000828314</v>
      </c>
      <c r="H86" s="364">
        <v>217380</v>
      </c>
      <c r="I86" s="307">
        <f t="shared" si="14"/>
        <v>64</v>
      </c>
      <c r="J86" s="306">
        <f t="shared" si="15"/>
        <v>7</v>
      </c>
      <c r="K86" s="306">
        <f t="shared" si="16"/>
        <v>2</v>
      </c>
      <c r="L86" s="306" t="str">
        <f t="shared" si="17"/>
        <v>64 ปี  7 เดือน  2 วัน</v>
      </c>
      <c r="M86" s="365">
        <f aca="true" t="shared" si="18" ref="M86:M112">IF(I86&lt;=69,600,IF(I86&lt;=79,700,IF(I86&lt;=89,800,IF(I86&gt;=90,1000))))</f>
        <v>600</v>
      </c>
      <c r="N86" s="365"/>
      <c r="O86" s="367"/>
      <c r="P86" s="57"/>
      <c r="R86" s="119"/>
      <c r="S86" s="114">
        <v>62</v>
      </c>
      <c r="T86" s="98">
        <f>COUNTIF(I364:I417,"62")</f>
        <v>6</v>
      </c>
      <c r="V86" s="115" t="s">
        <v>8</v>
      </c>
      <c r="W86" s="352">
        <v>0</v>
      </c>
      <c r="X86" s="57"/>
    </row>
    <row r="87" spans="1:24" ht="21">
      <c r="A87" s="446">
        <v>80</v>
      </c>
      <c r="B87" s="358" t="s">
        <v>30</v>
      </c>
      <c r="C87" s="359" t="s">
        <v>470</v>
      </c>
      <c r="D87" s="360" t="s">
        <v>471</v>
      </c>
      <c r="E87" s="361" t="s">
        <v>472</v>
      </c>
      <c r="F87" s="394">
        <v>1</v>
      </c>
      <c r="G87" s="363">
        <v>3730600579083</v>
      </c>
      <c r="H87" s="364">
        <v>217692</v>
      </c>
      <c r="I87" s="307">
        <f t="shared" si="14"/>
        <v>63</v>
      </c>
      <c r="J87" s="306">
        <f t="shared" si="15"/>
        <v>8</v>
      </c>
      <c r="K87" s="306">
        <f t="shared" si="16"/>
        <v>24</v>
      </c>
      <c r="L87" s="306" t="str">
        <f t="shared" si="17"/>
        <v>63 ปี  8 เดือน  24 วัน</v>
      </c>
      <c r="M87" s="365">
        <f t="shared" si="18"/>
        <v>600</v>
      </c>
      <c r="N87" s="365"/>
      <c r="O87" s="367"/>
      <c r="P87" s="57"/>
      <c r="Q87" s="133">
        <f>SUM(M45:M69)</f>
        <v>14400</v>
      </c>
      <c r="R87" s="119"/>
      <c r="S87" s="114">
        <v>63</v>
      </c>
      <c r="T87" s="98">
        <f>COUNTIF(I364:I417,"63")</f>
        <v>3</v>
      </c>
      <c r="V87" s="115" t="s">
        <v>9</v>
      </c>
      <c r="W87" s="352">
        <f>SUM(T114:T119)</f>
        <v>0</v>
      </c>
      <c r="X87" s="57"/>
    </row>
    <row r="88" spans="1:24" s="57" customFormat="1" ht="21">
      <c r="A88" s="446">
        <v>81</v>
      </c>
      <c r="B88" s="358" t="s">
        <v>30</v>
      </c>
      <c r="C88" s="359" t="s">
        <v>473</v>
      </c>
      <c r="D88" s="360" t="s">
        <v>300</v>
      </c>
      <c r="E88" s="361" t="s">
        <v>474</v>
      </c>
      <c r="F88" s="394">
        <v>1</v>
      </c>
      <c r="G88" s="363">
        <v>3730600579237</v>
      </c>
      <c r="H88" s="364">
        <v>217620</v>
      </c>
      <c r="I88" s="307">
        <f t="shared" si="14"/>
        <v>63</v>
      </c>
      <c r="J88" s="306">
        <f t="shared" si="15"/>
        <v>11</v>
      </c>
      <c r="K88" s="306">
        <f t="shared" si="16"/>
        <v>4</v>
      </c>
      <c r="L88" s="306" t="str">
        <f t="shared" si="17"/>
        <v>63 ปี  11 เดือน  4 วัน</v>
      </c>
      <c r="M88" s="365">
        <f t="shared" si="18"/>
        <v>600</v>
      </c>
      <c r="N88" s="365"/>
      <c r="O88" s="379" t="s">
        <v>460</v>
      </c>
      <c r="P88" s="80"/>
      <c r="Q88" s="119"/>
      <c r="R88" s="119"/>
      <c r="S88" s="114">
        <v>64</v>
      </c>
      <c r="T88" s="98">
        <f>COUNTIF(I364:I417,"64")</f>
        <v>6</v>
      </c>
      <c r="U88" s="101"/>
      <c r="V88" s="113" t="s">
        <v>25</v>
      </c>
      <c r="W88" s="113">
        <f>SUM(W84:W87)</f>
        <v>53</v>
      </c>
      <c r="X88" s="80"/>
    </row>
    <row r="89" spans="1:24" s="57" customFormat="1" ht="21">
      <c r="A89" s="446">
        <v>82</v>
      </c>
      <c r="B89" s="358" t="s">
        <v>30</v>
      </c>
      <c r="C89" s="359" t="s">
        <v>475</v>
      </c>
      <c r="D89" s="360" t="s">
        <v>298</v>
      </c>
      <c r="E89" s="361" t="s">
        <v>114</v>
      </c>
      <c r="F89" s="394">
        <v>1</v>
      </c>
      <c r="G89" s="363">
        <v>3730600579563</v>
      </c>
      <c r="H89" s="364">
        <v>217775</v>
      </c>
      <c r="I89" s="307">
        <f t="shared" si="14"/>
        <v>63</v>
      </c>
      <c r="J89" s="306">
        <f t="shared" si="15"/>
        <v>6</v>
      </c>
      <c r="K89" s="306">
        <f t="shared" si="16"/>
        <v>1</v>
      </c>
      <c r="L89" s="306" t="str">
        <f t="shared" si="17"/>
        <v>63 ปี  6 เดือน  1 วัน</v>
      </c>
      <c r="M89" s="365">
        <f t="shared" si="18"/>
        <v>600</v>
      </c>
      <c r="N89" s="365"/>
      <c r="O89" s="379" t="s">
        <v>460</v>
      </c>
      <c r="P89" s="80"/>
      <c r="Q89" s="119"/>
      <c r="R89" s="119"/>
      <c r="S89" s="114">
        <v>65</v>
      </c>
      <c r="T89" s="98">
        <f>COUNTIF(I364:I417,"65")</f>
        <v>5</v>
      </c>
      <c r="U89" s="101"/>
      <c r="V89" s="101"/>
      <c r="W89" s="116"/>
      <c r="X89" s="80"/>
    </row>
    <row r="90" spans="1:24" s="57" customFormat="1" ht="21">
      <c r="A90" s="446">
        <v>83</v>
      </c>
      <c r="B90" s="358" t="s">
        <v>32</v>
      </c>
      <c r="C90" s="359" t="s">
        <v>476</v>
      </c>
      <c r="D90" s="360" t="s">
        <v>477</v>
      </c>
      <c r="E90" s="361" t="s">
        <v>478</v>
      </c>
      <c r="F90" s="394">
        <v>1</v>
      </c>
      <c r="G90" s="363">
        <v>3730600579890</v>
      </c>
      <c r="H90" s="364">
        <v>217737</v>
      </c>
      <c r="I90" s="307">
        <f t="shared" si="14"/>
        <v>63</v>
      </c>
      <c r="J90" s="306">
        <f t="shared" si="15"/>
        <v>7</v>
      </c>
      <c r="K90" s="306">
        <f t="shared" si="16"/>
        <v>10</v>
      </c>
      <c r="L90" s="306" t="str">
        <f t="shared" si="17"/>
        <v>63 ปี  7 เดือน  10 วัน</v>
      </c>
      <c r="M90" s="365">
        <f t="shared" si="18"/>
        <v>600</v>
      </c>
      <c r="N90" s="365"/>
      <c r="O90" s="379" t="s">
        <v>460</v>
      </c>
      <c r="P90" s="80"/>
      <c r="Q90" s="119"/>
      <c r="R90" s="119"/>
      <c r="S90" s="114">
        <v>66</v>
      </c>
      <c r="T90" s="98">
        <f>COUNTIF(I364:I417,"66")</f>
        <v>6</v>
      </c>
      <c r="U90" s="101"/>
      <c r="V90" s="101"/>
      <c r="W90" s="101"/>
      <c r="X90" s="80"/>
    </row>
    <row r="91" spans="1:24" s="57" customFormat="1" ht="21">
      <c r="A91" s="446">
        <v>84</v>
      </c>
      <c r="B91" s="358" t="s">
        <v>30</v>
      </c>
      <c r="C91" s="359" t="s">
        <v>45</v>
      </c>
      <c r="D91" s="360" t="s">
        <v>387</v>
      </c>
      <c r="E91" s="361" t="s">
        <v>134</v>
      </c>
      <c r="F91" s="394">
        <v>1</v>
      </c>
      <c r="G91" s="363">
        <v>3730600580235</v>
      </c>
      <c r="H91" s="364">
        <v>217687</v>
      </c>
      <c r="I91" s="307">
        <f t="shared" si="14"/>
        <v>63</v>
      </c>
      <c r="J91" s="306">
        <f t="shared" si="15"/>
        <v>8</v>
      </c>
      <c r="K91" s="306">
        <f t="shared" si="16"/>
        <v>29</v>
      </c>
      <c r="L91" s="306" t="str">
        <f t="shared" si="17"/>
        <v>63 ปี  8 เดือน  29 วัน</v>
      </c>
      <c r="M91" s="365">
        <f t="shared" si="18"/>
        <v>600</v>
      </c>
      <c r="N91" s="365"/>
      <c r="O91" s="379" t="s">
        <v>460</v>
      </c>
      <c r="P91" s="80"/>
      <c r="Q91" s="119"/>
      <c r="R91" s="119"/>
      <c r="S91" s="114">
        <v>67</v>
      </c>
      <c r="T91" s="98">
        <f>COUNTIF(I364:I417,"67")</f>
        <v>5</v>
      </c>
      <c r="U91" s="101"/>
      <c r="V91" s="101"/>
      <c r="W91" s="101"/>
      <c r="X91" s="80"/>
    </row>
    <row r="92" spans="1:24" s="57" customFormat="1" ht="21">
      <c r="A92" s="446">
        <v>85</v>
      </c>
      <c r="B92" s="358" t="s">
        <v>30</v>
      </c>
      <c r="C92" s="359" t="s">
        <v>333</v>
      </c>
      <c r="D92" s="360" t="s">
        <v>479</v>
      </c>
      <c r="E92" s="361" t="s">
        <v>131</v>
      </c>
      <c r="F92" s="394">
        <v>1</v>
      </c>
      <c r="G92" s="363">
        <v>3600500012112</v>
      </c>
      <c r="H92" s="364">
        <v>216592</v>
      </c>
      <c r="I92" s="307">
        <f t="shared" si="14"/>
        <v>66</v>
      </c>
      <c r="J92" s="306">
        <f t="shared" si="15"/>
        <v>8</v>
      </c>
      <c r="K92" s="306">
        <f t="shared" si="16"/>
        <v>29</v>
      </c>
      <c r="L92" s="306" t="str">
        <f t="shared" si="17"/>
        <v>66 ปี  8 เดือน  29 วัน</v>
      </c>
      <c r="M92" s="365">
        <f t="shared" si="18"/>
        <v>600</v>
      </c>
      <c r="N92" s="365"/>
      <c r="O92" s="379" t="s">
        <v>460</v>
      </c>
      <c r="P92" s="80"/>
      <c r="Q92" s="119"/>
      <c r="R92" s="119"/>
      <c r="S92" s="114">
        <v>68</v>
      </c>
      <c r="T92" s="98">
        <f>COUNTIF(I364:I417,"68")</f>
        <v>4</v>
      </c>
      <c r="U92" s="101"/>
      <c r="V92" s="101"/>
      <c r="W92" s="101"/>
      <c r="X92" s="80"/>
    </row>
    <row r="93" spans="1:24" s="57" customFormat="1" ht="21">
      <c r="A93" s="446">
        <v>86</v>
      </c>
      <c r="B93" s="358" t="s">
        <v>31</v>
      </c>
      <c r="C93" s="380" t="s">
        <v>480</v>
      </c>
      <c r="D93" s="381" t="s">
        <v>481</v>
      </c>
      <c r="E93" s="361" t="s">
        <v>482</v>
      </c>
      <c r="F93" s="394">
        <v>1</v>
      </c>
      <c r="G93" s="363">
        <v>2580100145001</v>
      </c>
      <c r="H93" s="364">
        <v>217322</v>
      </c>
      <c r="I93" s="307">
        <f t="shared" si="14"/>
        <v>64</v>
      </c>
      <c r="J93" s="306">
        <f t="shared" si="15"/>
        <v>8</v>
      </c>
      <c r="K93" s="306">
        <f t="shared" si="16"/>
        <v>29</v>
      </c>
      <c r="L93" s="306" t="str">
        <f t="shared" si="17"/>
        <v>64 ปี  8 เดือน  29 วัน</v>
      </c>
      <c r="M93" s="365">
        <f t="shared" si="18"/>
        <v>600</v>
      </c>
      <c r="N93" s="365"/>
      <c r="O93" s="379" t="s">
        <v>460</v>
      </c>
      <c r="P93" s="80"/>
      <c r="Q93" s="119"/>
      <c r="R93" s="119"/>
      <c r="S93" s="114">
        <v>69</v>
      </c>
      <c r="T93" s="98">
        <f>COUNTIF(I364:I417,"69")</f>
        <v>5</v>
      </c>
      <c r="U93" s="101"/>
      <c r="V93" s="101"/>
      <c r="W93" s="101"/>
      <c r="X93" s="80"/>
    </row>
    <row r="94" spans="1:24" s="57" customFormat="1" ht="21.75" thickBot="1">
      <c r="A94" s="446">
        <v>87</v>
      </c>
      <c r="B94" s="358" t="s">
        <v>32</v>
      </c>
      <c r="C94" s="359" t="s">
        <v>483</v>
      </c>
      <c r="D94" s="360" t="s">
        <v>484</v>
      </c>
      <c r="E94" s="361" t="s">
        <v>485</v>
      </c>
      <c r="F94" s="394">
        <v>1</v>
      </c>
      <c r="G94" s="363">
        <v>3102101702537</v>
      </c>
      <c r="H94" s="364">
        <v>217670</v>
      </c>
      <c r="I94" s="307">
        <f t="shared" si="14"/>
        <v>63</v>
      </c>
      <c r="J94" s="306">
        <f t="shared" si="15"/>
        <v>9</v>
      </c>
      <c r="K94" s="306">
        <f t="shared" si="16"/>
        <v>15</v>
      </c>
      <c r="L94" s="306" t="str">
        <f t="shared" si="17"/>
        <v>63 ปี  9 เดือน  15 วัน</v>
      </c>
      <c r="M94" s="365">
        <f t="shared" si="18"/>
        <v>600</v>
      </c>
      <c r="N94" s="365"/>
      <c r="O94" s="379" t="s">
        <v>460</v>
      </c>
      <c r="P94" s="80"/>
      <c r="Q94" s="119"/>
      <c r="R94" s="119"/>
      <c r="S94" s="464" t="s">
        <v>25</v>
      </c>
      <c r="T94" s="113">
        <f>SUM(T84:T93)</f>
        <v>53</v>
      </c>
      <c r="U94" s="101"/>
      <c r="V94" s="101"/>
      <c r="W94" s="101"/>
      <c r="X94" s="80"/>
    </row>
    <row r="95" spans="1:24" s="57" customFormat="1" ht="21.75" thickTop="1">
      <c r="A95" s="446">
        <v>88</v>
      </c>
      <c r="B95" s="358" t="s">
        <v>30</v>
      </c>
      <c r="C95" s="380" t="s">
        <v>486</v>
      </c>
      <c r="D95" s="381" t="s">
        <v>487</v>
      </c>
      <c r="E95" s="361" t="s">
        <v>488</v>
      </c>
      <c r="F95" s="394">
        <v>1</v>
      </c>
      <c r="G95" s="363">
        <v>3100501875950</v>
      </c>
      <c r="H95" s="364">
        <v>215975</v>
      </c>
      <c r="I95" s="307">
        <f t="shared" si="14"/>
        <v>68</v>
      </c>
      <c r="J95" s="306">
        <f t="shared" si="15"/>
        <v>5</v>
      </c>
      <c r="K95" s="306">
        <f t="shared" si="16"/>
        <v>5</v>
      </c>
      <c r="L95" s="306" t="str">
        <f t="shared" si="17"/>
        <v>68 ปี  5 เดือน  5 วัน</v>
      </c>
      <c r="M95" s="365">
        <f t="shared" si="18"/>
        <v>600</v>
      </c>
      <c r="N95" s="365"/>
      <c r="O95" s="379" t="s">
        <v>460</v>
      </c>
      <c r="P95" s="80"/>
      <c r="Q95" s="119"/>
      <c r="R95" s="119"/>
      <c r="S95" s="119"/>
      <c r="T95" s="119"/>
      <c r="U95" s="119"/>
      <c r="V95" s="119"/>
      <c r="W95" s="119"/>
      <c r="X95" s="80"/>
    </row>
    <row r="96" spans="1:24" s="57" customFormat="1" ht="21">
      <c r="A96" s="446">
        <v>89</v>
      </c>
      <c r="B96" s="358" t="s">
        <v>30</v>
      </c>
      <c r="C96" s="359" t="s">
        <v>489</v>
      </c>
      <c r="D96" s="360" t="s">
        <v>487</v>
      </c>
      <c r="E96" s="361" t="s">
        <v>488</v>
      </c>
      <c r="F96" s="394">
        <v>1</v>
      </c>
      <c r="G96" s="363">
        <v>3100501875941</v>
      </c>
      <c r="H96" s="364">
        <v>217843</v>
      </c>
      <c r="I96" s="307">
        <f t="shared" si="14"/>
        <v>63</v>
      </c>
      <c r="J96" s="306">
        <f t="shared" si="15"/>
        <v>3</v>
      </c>
      <c r="K96" s="306">
        <f t="shared" si="16"/>
        <v>25</v>
      </c>
      <c r="L96" s="306" t="str">
        <f t="shared" si="17"/>
        <v>63 ปี  3 เดือน  25 วัน</v>
      </c>
      <c r="M96" s="365">
        <f t="shared" si="18"/>
        <v>600</v>
      </c>
      <c r="N96" s="365"/>
      <c r="O96" s="379" t="s">
        <v>460</v>
      </c>
      <c r="P96" s="80"/>
      <c r="Q96" s="119"/>
      <c r="R96" s="119"/>
      <c r="S96" s="119"/>
      <c r="T96" s="119"/>
      <c r="U96" s="119"/>
      <c r="V96" s="119"/>
      <c r="W96" s="119"/>
      <c r="X96" s="80"/>
    </row>
    <row r="97" spans="1:24" s="57" customFormat="1" ht="21">
      <c r="A97" s="446">
        <v>90</v>
      </c>
      <c r="B97" s="358" t="s">
        <v>30</v>
      </c>
      <c r="C97" s="359" t="s">
        <v>490</v>
      </c>
      <c r="D97" s="360" t="s">
        <v>491</v>
      </c>
      <c r="E97" s="361" t="s">
        <v>492</v>
      </c>
      <c r="F97" s="394">
        <v>1</v>
      </c>
      <c r="G97" s="363">
        <v>3909900010457</v>
      </c>
      <c r="H97" s="364">
        <v>217701</v>
      </c>
      <c r="I97" s="307">
        <f t="shared" si="14"/>
        <v>63</v>
      </c>
      <c r="J97" s="306">
        <f t="shared" si="15"/>
        <v>8</v>
      </c>
      <c r="K97" s="306">
        <f t="shared" si="16"/>
        <v>15</v>
      </c>
      <c r="L97" s="306" t="str">
        <f t="shared" si="17"/>
        <v>63 ปี  8 เดือน  15 วัน</v>
      </c>
      <c r="M97" s="365">
        <f t="shared" si="18"/>
        <v>600</v>
      </c>
      <c r="N97" s="365"/>
      <c r="O97" s="379" t="s">
        <v>460</v>
      </c>
      <c r="P97" s="80"/>
      <c r="Q97" s="119"/>
      <c r="R97" s="119"/>
      <c r="S97" s="111" t="s">
        <v>0</v>
      </c>
      <c r="T97" s="112" t="s">
        <v>22</v>
      </c>
      <c r="U97" s="101"/>
      <c r="V97" s="113" t="s">
        <v>1</v>
      </c>
      <c r="W97" s="113" t="s">
        <v>22</v>
      </c>
      <c r="X97" s="80"/>
    </row>
    <row r="98" spans="1:24" s="57" customFormat="1" ht="21">
      <c r="A98" s="446">
        <v>91</v>
      </c>
      <c r="B98" s="358" t="s">
        <v>32</v>
      </c>
      <c r="C98" s="359" t="s">
        <v>493</v>
      </c>
      <c r="D98" s="360" t="s">
        <v>494</v>
      </c>
      <c r="E98" s="361" t="s">
        <v>495</v>
      </c>
      <c r="F98" s="394">
        <v>1</v>
      </c>
      <c r="G98" s="363">
        <v>5102000038859</v>
      </c>
      <c r="H98" s="364">
        <v>217672</v>
      </c>
      <c r="I98" s="307">
        <f t="shared" si="14"/>
        <v>63</v>
      </c>
      <c r="J98" s="306">
        <f t="shared" si="15"/>
        <v>9</v>
      </c>
      <c r="K98" s="306">
        <f t="shared" si="16"/>
        <v>13</v>
      </c>
      <c r="L98" s="306" t="str">
        <f t="shared" si="17"/>
        <v>63 ปี  9 เดือน  13 วัน</v>
      </c>
      <c r="M98" s="365">
        <f t="shared" si="18"/>
        <v>600</v>
      </c>
      <c r="N98" s="384"/>
      <c r="O98" s="379" t="s">
        <v>460</v>
      </c>
      <c r="P98" s="80"/>
      <c r="Q98" s="119"/>
      <c r="R98" s="119"/>
      <c r="S98" s="114">
        <v>60</v>
      </c>
      <c r="T98" s="98">
        <f>COUNTIF(I418:I455,"60")</f>
        <v>7</v>
      </c>
      <c r="U98" s="101"/>
      <c r="V98" s="115" t="s">
        <v>2</v>
      </c>
      <c r="W98" s="352">
        <f>SUM(T98:T107)</f>
        <v>38</v>
      </c>
      <c r="X98" s="80"/>
    </row>
    <row r="99" spans="1:25" s="57" customFormat="1" ht="21">
      <c r="A99" s="446">
        <v>92</v>
      </c>
      <c r="B99" s="358" t="s">
        <v>31</v>
      </c>
      <c r="C99" s="382" t="s">
        <v>138</v>
      </c>
      <c r="D99" s="383" t="s">
        <v>496</v>
      </c>
      <c r="E99" s="361" t="s">
        <v>497</v>
      </c>
      <c r="F99" s="394">
        <v>1</v>
      </c>
      <c r="G99" s="363">
        <v>5649890001727</v>
      </c>
      <c r="H99" s="364">
        <v>217542</v>
      </c>
      <c r="I99" s="307">
        <f t="shared" si="14"/>
        <v>64</v>
      </c>
      <c r="J99" s="306">
        <f t="shared" si="15"/>
        <v>1</v>
      </c>
      <c r="K99" s="306">
        <f t="shared" si="16"/>
        <v>21</v>
      </c>
      <c r="L99" s="306" t="str">
        <f t="shared" si="17"/>
        <v>64 ปี  1 เดือน  21 วัน</v>
      </c>
      <c r="M99" s="365">
        <f t="shared" si="18"/>
        <v>600</v>
      </c>
      <c r="N99" s="365"/>
      <c r="O99" s="379" t="s">
        <v>460</v>
      </c>
      <c r="P99" s="80"/>
      <c r="Q99" s="119"/>
      <c r="R99" s="119"/>
      <c r="S99" s="114">
        <v>61</v>
      </c>
      <c r="T99" s="98">
        <f>COUNTIF(I418:I455,"61")</f>
        <v>10</v>
      </c>
      <c r="U99" s="101"/>
      <c r="V99" s="115" t="s">
        <v>7</v>
      </c>
      <c r="W99" s="352">
        <v>0</v>
      </c>
      <c r="X99" s="80"/>
      <c r="Y99" s="57" t="s">
        <v>1349</v>
      </c>
    </row>
    <row r="100" spans="1:24" s="57" customFormat="1" ht="21">
      <c r="A100" s="446">
        <v>93</v>
      </c>
      <c r="B100" s="358" t="s">
        <v>32</v>
      </c>
      <c r="C100" s="359" t="s">
        <v>196</v>
      </c>
      <c r="D100" s="360" t="s">
        <v>498</v>
      </c>
      <c r="E100" s="361" t="s">
        <v>499</v>
      </c>
      <c r="F100" s="394">
        <v>1</v>
      </c>
      <c r="G100" s="363">
        <v>3120200404346</v>
      </c>
      <c r="H100" s="364">
        <v>215936</v>
      </c>
      <c r="I100" s="307">
        <f aca="true" t="shared" si="19" ref="I100:I112">DATEDIF(H100,$S$20,"Y")</f>
        <v>68</v>
      </c>
      <c r="J100" s="306">
        <f aca="true" t="shared" si="20" ref="J100:J112">DATEDIF(H100,$S$20,"YM")</f>
        <v>6</v>
      </c>
      <c r="K100" s="306">
        <f aca="true" t="shared" si="21" ref="K100:K112">DATEDIF(H100,$S$20,"MD")</f>
        <v>13</v>
      </c>
      <c r="L100" s="306" t="str">
        <f aca="true" t="shared" si="22" ref="L100:L112">I100&amp;" ปี  "&amp;J100&amp;" เดือน  "&amp;K100&amp;" วัน"</f>
        <v>68 ปี  6 เดือน  13 วัน</v>
      </c>
      <c r="M100" s="365">
        <f t="shared" si="18"/>
        <v>600</v>
      </c>
      <c r="N100" s="365"/>
      <c r="O100" s="379" t="s">
        <v>460</v>
      </c>
      <c r="P100" s="80"/>
      <c r="Q100" s="119"/>
      <c r="R100" s="119"/>
      <c r="S100" s="114">
        <v>62</v>
      </c>
      <c r="T100" s="98">
        <f>COUNTIF(I418:I455,"62")</f>
        <v>2</v>
      </c>
      <c r="U100" s="101"/>
      <c r="V100" s="115" t="s">
        <v>8</v>
      </c>
      <c r="W100" s="352">
        <f>SUM(T117:T126)</f>
        <v>0</v>
      </c>
      <c r="X100" s="80"/>
    </row>
    <row r="101" spans="1:24" s="57" customFormat="1" ht="21">
      <c r="A101" s="446">
        <v>94</v>
      </c>
      <c r="B101" s="358" t="s">
        <v>30</v>
      </c>
      <c r="C101" s="359" t="s">
        <v>155</v>
      </c>
      <c r="D101" s="360" t="s">
        <v>500</v>
      </c>
      <c r="E101" s="361" t="s">
        <v>501</v>
      </c>
      <c r="F101" s="394">
        <v>1</v>
      </c>
      <c r="G101" s="363">
        <v>3102001652007</v>
      </c>
      <c r="H101" s="364">
        <v>217725</v>
      </c>
      <c r="I101" s="307">
        <f t="shared" si="19"/>
        <v>63</v>
      </c>
      <c r="J101" s="306">
        <f t="shared" si="20"/>
        <v>7</v>
      </c>
      <c r="K101" s="306">
        <f t="shared" si="21"/>
        <v>22</v>
      </c>
      <c r="L101" s="306" t="str">
        <f t="shared" si="22"/>
        <v>63 ปี  7 เดือน  22 วัน</v>
      </c>
      <c r="M101" s="365">
        <f t="shared" si="18"/>
        <v>600</v>
      </c>
      <c r="N101" s="365"/>
      <c r="O101" s="379" t="s">
        <v>460</v>
      </c>
      <c r="P101" s="80"/>
      <c r="Q101" s="119"/>
      <c r="R101" s="119"/>
      <c r="S101" s="114">
        <v>63</v>
      </c>
      <c r="T101" s="98">
        <f>COUNTIF(I418:I455,"63")</f>
        <v>3</v>
      </c>
      <c r="U101" s="101"/>
      <c r="V101" s="115" t="s">
        <v>9</v>
      </c>
      <c r="W101" s="352">
        <f>SUM(T128:T133)</f>
        <v>0</v>
      </c>
      <c r="X101" s="80"/>
    </row>
    <row r="102" spans="1:24" s="57" customFormat="1" ht="21">
      <c r="A102" s="446">
        <v>95</v>
      </c>
      <c r="B102" s="358" t="s">
        <v>30</v>
      </c>
      <c r="C102" s="359" t="s">
        <v>400</v>
      </c>
      <c r="D102" s="360" t="s">
        <v>502</v>
      </c>
      <c r="E102" s="361" t="s">
        <v>503</v>
      </c>
      <c r="F102" s="394">
        <v>1</v>
      </c>
      <c r="G102" s="363">
        <v>3101200637333</v>
      </c>
      <c r="H102" s="364">
        <v>217761</v>
      </c>
      <c r="I102" s="307">
        <f t="shared" si="19"/>
        <v>63</v>
      </c>
      <c r="J102" s="306">
        <f t="shared" si="20"/>
        <v>6</v>
      </c>
      <c r="K102" s="306">
        <f t="shared" si="21"/>
        <v>15</v>
      </c>
      <c r="L102" s="306" t="str">
        <f t="shared" si="22"/>
        <v>63 ปี  6 เดือน  15 วัน</v>
      </c>
      <c r="M102" s="365">
        <f t="shared" si="18"/>
        <v>600</v>
      </c>
      <c r="N102" s="365"/>
      <c r="O102" s="379" t="s">
        <v>460</v>
      </c>
      <c r="P102" s="80"/>
      <c r="Q102" s="119"/>
      <c r="R102" s="119"/>
      <c r="S102" s="114">
        <v>64</v>
      </c>
      <c r="T102" s="98">
        <f>COUNTIF(I418:I455,"64")</f>
        <v>6</v>
      </c>
      <c r="U102" s="101"/>
      <c r="V102" s="113" t="s">
        <v>25</v>
      </c>
      <c r="W102" s="113">
        <f>SUM(W98:W101)</f>
        <v>38</v>
      </c>
      <c r="X102" s="80"/>
    </row>
    <row r="103" spans="1:24" s="57" customFormat="1" ht="21">
      <c r="A103" s="446">
        <v>96</v>
      </c>
      <c r="B103" s="358" t="s">
        <v>30</v>
      </c>
      <c r="C103" s="382" t="s">
        <v>205</v>
      </c>
      <c r="D103" s="383" t="s">
        <v>504</v>
      </c>
      <c r="E103" s="361" t="s">
        <v>505</v>
      </c>
      <c r="F103" s="394">
        <v>1</v>
      </c>
      <c r="G103" s="363">
        <v>5501190003062</v>
      </c>
      <c r="H103" s="364">
        <v>217477</v>
      </c>
      <c r="I103" s="307">
        <f t="shared" si="19"/>
        <v>64</v>
      </c>
      <c r="J103" s="306">
        <f t="shared" si="20"/>
        <v>3</v>
      </c>
      <c r="K103" s="306">
        <f t="shared" si="21"/>
        <v>25</v>
      </c>
      <c r="L103" s="306" t="str">
        <f t="shared" si="22"/>
        <v>64 ปี  3 เดือน  25 วัน</v>
      </c>
      <c r="M103" s="365">
        <f t="shared" si="18"/>
        <v>600</v>
      </c>
      <c r="N103" s="365"/>
      <c r="O103" s="379" t="s">
        <v>460</v>
      </c>
      <c r="P103" s="80"/>
      <c r="Q103" s="119"/>
      <c r="R103" s="119"/>
      <c r="S103" s="114">
        <v>65</v>
      </c>
      <c r="T103" s="98">
        <f>COUNTIF(I418:I455,"65")</f>
        <v>3</v>
      </c>
      <c r="U103" s="101"/>
      <c r="V103" s="101"/>
      <c r="W103" s="116"/>
      <c r="X103" s="80"/>
    </row>
    <row r="104" spans="1:24" s="57" customFormat="1" ht="21">
      <c r="A104" s="446">
        <v>97</v>
      </c>
      <c r="B104" s="358" t="s">
        <v>30</v>
      </c>
      <c r="C104" s="359" t="s">
        <v>506</v>
      </c>
      <c r="D104" s="360" t="s">
        <v>507</v>
      </c>
      <c r="E104" s="361" t="s">
        <v>508</v>
      </c>
      <c r="F104" s="394">
        <v>1</v>
      </c>
      <c r="G104" s="363">
        <v>3730300853716</v>
      </c>
      <c r="H104" s="364">
        <v>217300</v>
      </c>
      <c r="I104" s="307">
        <f t="shared" si="19"/>
        <v>64</v>
      </c>
      <c r="J104" s="306">
        <f t="shared" si="20"/>
        <v>9</v>
      </c>
      <c r="K104" s="306">
        <f t="shared" si="21"/>
        <v>20</v>
      </c>
      <c r="L104" s="306" t="str">
        <f t="shared" si="22"/>
        <v>64 ปี  9 เดือน  20 วัน</v>
      </c>
      <c r="M104" s="365">
        <f t="shared" si="18"/>
        <v>600</v>
      </c>
      <c r="N104" s="365"/>
      <c r="O104" s="379" t="s">
        <v>460</v>
      </c>
      <c r="P104" s="80"/>
      <c r="Q104" s="119"/>
      <c r="R104" s="119"/>
      <c r="S104" s="114">
        <v>66</v>
      </c>
      <c r="T104" s="98">
        <f>COUNTIF(I418:I455,"66")</f>
        <v>2</v>
      </c>
      <c r="U104" s="101"/>
      <c r="V104" s="101"/>
      <c r="W104" s="101"/>
      <c r="X104" s="80"/>
    </row>
    <row r="105" spans="1:24" s="57" customFormat="1" ht="21">
      <c r="A105" s="446">
        <v>98</v>
      </c>
      <c r="B105" s="358" t="s">
        <v>30</v>
      </c>
      <c r="C105" s="359" t="s">
        <v>243</v>
      </c>
      <c r="D105" s="360" t="s">
        <v>509</v>
      </c>
      <c r="E105" s="361" t="s">
        <v>510</v>
      </c>
      <c r="F105" s="394">
        <v>1</v>
      </c>
      <c r="G105" s="363">
        <v>3300900689422</v>
      </c>
      <c r="H105" s="364">
        <v>217687</v>
      </c>
      <c r="I105" s="307">
        <f t="shared" si="19"/>
        <v>63</v>
      </c>
      <c r="J105" s="306">
        <f t="shared" si="20"/>
        <v>8</v>
      </c>
      <c r="K105" s="306">
        <f t="shared" si="21"/>
        <v>29</v>
      </c>
      <c r="L105" s="306" t="str">
        <f t="shared" si="22"/>
        <v>63 ปี  8 เดือน  29 วัน</v>
      </c>
      <c r="M105" s="365">
        <f t="shared" si="18"/>
        <v>600</v>
      </c>
      <c r="N105" s="365"/>
      <c r="O105" s="379" t="s">
        <v>460</v>
      </c>
      <c r="P105" s="80"/>
      <c r="Q105" s="119"/>
      <c r="R105" s="119"/>
      <c r="S105" s="114">
        <v>67</v>
      </c>
      <c r="T105" s="98">
        <f>COUNTIF(I418:I455,"67")</f>
        <v>1</v>
      </c>
      <c r="U105" s="101"/>
      <c r="V105" s="101"/>
      <c r="W105" s="101"/>
      <c r="X105" s="80"/>
    </row>
    <row r="106" spans="1:24" s="57" customFormat="1" ht="21">
      <c r="A106" s="446">
        <v>99</v>
      </c>
      <c r="B106" s="358" t="s">
        <v>30</v>
      </c>
      <c r="C106" s="359" t="s">
        <v>511</v>
      </c>
      <c r="D106" s="360" t="s">
        <v>512</v>
      </c>
      <c r="E106" s="361" t="s">
        <v>513</v>
      </c>
      <c r="F106" s="394">
        <v>1</v>
      </c>
      <c r="G106" s="363">
        <v>3101801197087</v>
      </c>
      <c r="H106" s="364">
        <v>217876</v>
      </c>
      <c r="I106" s="307">
        <f t="shared" si="19"/>
        <v>63</v>
      </c>
      <c r="J106" s="306">
        <f t="shared" si="20"/>
        <v>2</v>
      </c>
      <c r="K106" s="306">
        <f t="shared" si="21"/>
        <v>22</v>
      </c>
      <c r="L106" s="306" t="str">
        <f t="shared" si="22"/>
        <v>63 ปี  2 เดือน  22 วัน</v>
      </c>
      <c r="M106" s="365">
        <f t="shared" si="18"/>
        <v>600</v>
      </c>
      <c r="N106" s="365"/>
      <c r="O106" s="379"/>
      <c r="P106" s="80"/>
      <c r="Q106" s="119"/>
      <c r="R106" s="119"/>
      <c r="S106" s="114">
        <v>68</v>
      </c>
      <c r="T106" s="98">
        <f>COUNTIF(I418:I455,"68")</f>
        <v>1</v>
      </c>
      <c r="U106" s="101"/>
      <c r="V106" s="101"/>
      <c r="W106" s="101"/>
      <c r="X106" s="80"/>
    </row>
    <row r="107" spans="1:24" s="57" customFormat="1" ht="21">
      <c r="A107" s="446">
        <v>100</v>
      </c>
      <c r="B107" s="358" t="s">
        <v>32</v>
      </c>
      <c r="C107" s="359" t="s">
        <v>514</v>
      </c>
      <c r="D107" s="360" t="s">
        <v>236</v>
      </c>
      <c r="E107" s="361" t="s">
        <v>515</v>
      </c>
      <c r="F107" s="394">
        <v>1</v>
      </c>
      <c r="G107" s="363">
        <v>3101801321586</v>
      </c>
      <c r="H107" s="364">
        <v>217687</v>
      </c>
      <c r="I107" s="307">
        <f t="shared" si="19"/>
        <v>63</v>
      </c>
      <c r="J107" s="306">
        <f t="shared" si="20"/>
        <v>8</v>
      </c>
      <c r="K107" s="306">
        <f t="shared" si="21"/>
        <v>29</v>
      </c>
      <c r="L107" s="306" t="str">
        <f t="shared" si="22"/>
        <v>63 ปี  8 เดือน  29 วัน</v>
      </c>
      <c r="M107" s="365">
        <f t="shared" si="18"/>
        <v>600</v>
      </c>
      <c r="N107" s="365"/>
      <c r="O107" s="367"/>
      <c r="P107" s="80"/>
      <c r="Q107" s="119"/>
      <c r="R107" s="119"/>
      <c r="S107" s="114">
        <v>69</v>
      </c>
      <c r="T107" s="98">
        <f>COUNTIF(I418:I455,"69")</f>
        <v>3</v>
      </c>
      <c r="U107" s="101"/>
      <c r="V107" s="101"/>
      <c r="W107" s="101"/>
      <c r="X107" s="80"/>
    </row>
    <row r="108" spans="1:24" s="57" customFormat="1" ht="21.75" thickBot="1">
      <c r="A108" s="446">
        <v>101</v>
      </c>
      <c r="B108" s="358" t="s">
        <v>31</v>
      </c>
      <c r="C108" s="382" t="s">
        <v>516</v>
      </c>
      <c r="D108" s="383" t="s">
        <v>517</v>
      </c>
      <c r="E108" s="361" t="s">
        <v>518</v>
      </c>
      <c r="F108" s="394">
        <v>1</v>
      </c>
      <c r="G108" s="363">
        <v>3101501986116</v>
      </c>
      <c r="H108" s="364">
        <v>217570</v>
      </c>
      <c r="I108" s="307">
        <f t="shared" si="19"/>
        <v>64</v>
      </c>
      <c r="J108" s="306">
        <f t="shared" si="20"/>
        <v>0</v>
      </c>
      <c r="K108" s="306">
        <f t="shared" si="21"/>
        <v>24</v>
      </c>
      <c r="L108" s="306" t="str">
        <f t="shared" si="22"/>
        <v>64 ปี  0 เดือน  24 วัน</v>
      </c>
      <c r="M108" s="365">
        <f t="shared" si="18"/>
        <v>600</v>
      </c>
      <c r="N108" s="365"/>
      <c r="O108" s="379"/>
      <c r="P108" s="80"/>
      <c r="Q108" s="119"/>
      <c r="R108" s="119"/>
      <c r="S108" s="464" t="s">
        <v>25</v>
      </c>
      <c r="T108" s="113">
        <f>SUM(T98:T107)</f>
        <v>38</v>
      </c>
      <c r="U108" s="101"/>
      <c r="V108" s="101"/>
      <c r="W108" s="101"/>
      <c r="X108" s="80"/>
    </row>
    <row r="109" spans="1:24" s="57" customFormat="1" ht="21.75" thickTop="1">
      <c r="A109" s="446">
        <v>102</v>
      </c>
      <c r="B109" s="358" t="s">
        <v>30</v>
      </c>
      <c r="C109" s="359" t="s">
        <v>152</v>
      </c>
      <c r="D109" s="360" t="s">
        <v>517</v>
      </c>
      <c r="E109" s="361" t="s">
        <v>518</v>
      </c>
      <c r="F109" s="394">
        <v>1</v>
      </c>
      <c r="G109" s="363">
        <v>3101501986086</v>
      </c>
      <c r="H109" s="364">
        <v>215586</v>
      </c>
      <c r="I109" s="307">
        <f t="shared" si="19"/>
        <v>69</v>
      </c>
      <c r="J109" s="306">
        <f t="shared" si="20"/>
        <v>5</v>
      </c>
      <c r="K109" s="306">
        <f t="shared" si="21"/>
        <v>29</v>
      </c>
      <c r="L109" s="306" t="str">
        <f t="shared" si="22"/>
        <v>69 ปี  5 เดือน  29 วัน</v>
      </c>
      <c r="M109" s="365">
        <f t="shared" si="18"/>
        <v>600</v>
      </c>
      <c r="N109" s="365"/>
      <c r="O109" s="379"/>
      <c r="P109" s="80"/>
      <c r="Q109" s="119"/>
      <c r="R109" s="119"/>
      <c r="S109" s="119"/>
      <c r="T109" s="119"/>
      <c r="U109" s="119"/>
      <c r="V109" s="119"/>
      <c r="W109" s="119"/>
      <c r="X109" s="80"/>
    </row>
    <row r="110" spans="1:24" s="57" customFormat="1" ht="21">
      <c r="A110" s="446">
        <v>103</v>
      </c>
      <c r="B110" s="358" t="s">
        <v>31</v>
      </c>
      <c r="C110" s="359" t="s">
        <v>519</v>
      </c>
      <c r="D110" s="360" t="s">
        <v>520</v>
      </c>
      <c r="E110" s="361" t="s">
        <v>521</v>
      </c>
      <c r="F110" s="394">
        <v>1</v>
      </c>
      <c r="G110" s="363">
        <v>4860100003325</v>
      </c>
      <c r="H110" s="364">
        <v>216616</v>
      </c>
      <c r="I110" s="307">
        <f t="shared" si="19"/>
        <v>66</v>
      </c>
      <c r="J110" s="306">
        <f t="shared" si="20"/>
        <v>8</v>
      </c>
      <c r="K110" s="306">
        <f t="shared" si="21"/>
        <v>5</v>
      </c>
      <c r="L110" s="306" t="str">
        <f t="shared" si="22"/>
        <v>66 ปี  8 เดือน  5 วัน</v>
      </c>
      <c r="M110" s="365">
        <f t="shared" si="18"/>
        <v>600</v>
      </c>
      <c r="N110" s="365"/>
      <c r="O110" s="379"/>
      <c r="P110" s="80"/>
      <c r="Q110" s="119"/>
      <c r="R110" s="119"/>
      <c r="S110" s="119"/>
      <c r="T110" s="119"/>
      <c r="U110" s="119"/>
      <c r="V110" s="119"/>
      <c r="W110" s="119"/>
      <c r="X110" s="80"/>
    </row>
    <row r="111" spans="1:24" s="57" customFormat="1" ht="21">
      <c r="A111" s="446">
        <v>104</v>
      </c>
      <c r="B111" s="358" t="s">
        <v>30</v>
      </c>
      <c r="C111" s="382" t="s">
        <v>524</v>
      </c>
      <c r="D111" s="383" t="s">
        <v>244</v>
      </c>
      <c r="E111" s="361" t="s">
        <v>238</v>
      </c>
      <c r="F111" s="394">
        <v>1</v>
      </c>
      <c r="G111" s="363">
        <v>3110300157243</v>
      </c>
      <c r="H111" s="364">
        <v>216095</v>
      </c>
      <c r="I111" s="307">
        <f t="shared" si="19"/>
        <v>68</v>
      </c>
      <c r="J111" s="306">
        <f t="shared" si="20"/>
        <v>1</v>
      </c>
      <c r="K111" s="306">
        <f t="shared" si="21"/>
        <v>7</v>
      </c>
      <c r="L111" s="306" t="str">
        <f t="shared" si="22"/>
        <v>68 ปี  1 เดือน  7 วัน</v>
      </c>
      <c r="M111" s="365">
        <f t="shared" si="18"/>
        <v>600</v>
      </c>
      <c r="N111" s="365"/>
      <c r="O111" s="379"/>
      <c r="P111" s="80"/>
      <c r="Q111" s="119"/>
      <c r="R111" s="119"/>
      <c r="S111" s="119"/>
      <c r="T111" s="119"/>
      <c r="U111" s="119"/>
      <c r="V111" s="119"/>
      <c r="W111" s="119"/>
      <c r="X111" s="80"/>
    </row>
    <row r="112" spans="1:24" s="57" customFormat="1" ht="21">
      <c r="A112" s="446">
        <v>105</v>
      </c>
      <c r="B112" s="358" t="s">
        <v>30</v>
      </c>
      <c r="C112" s="359" t="s">
        <v>525</v>
      </c>
      <c r="D112" s="360" t="s">
        <v>526</v>
      </c>
      <c r="E112" s="361" t="s">
        <v>527</v>
      </c>
      <c r="F112" s="394">
        <v>1</v>
      </c>
      <c r="G112" s="363">
        <v>3102002330879</v>
      </c>
      <c r="H112" s="364">
        <v>217454</v>
      </c>
      <c r="I112" s="307">
        <f t="shared" si="19"/>
        <v>64</v>
      </c>
      <c r="J112" s="306">
        <f t="shared" si="20"/>
        <v>4</v>
      </c>
      <c r="K112" s="306">
        <f t="shared" si="21"/>
        <v>17</v>
      </c>
      <c r="L112" s="306" t="str">
        <f t="shared" si="22"/>
        <v>64 ปี  4 เดือน  17 วัน</v>
      </c>
      <c r="M112" s="365">
        <f t="shared" si="18"/>
        <v>600</v>
      </c>
      <c r="N112" s="365"/>
      <c r="O112" s="379"/>
      <c r="P112" s="80"/>
      <c r="Q112" s="119"/>
      <c r="R112" s="119"/>
      <c r="S112" s="119"/>
      <c r="T112" s="119"/>
      <c r="U112" s="119"/>
      <c r="V112" s="119"/>
      <c r="W112" s="119"/>
      <c r="X112" s="80"/>
    </row>
    <row r="113" spans="1:24" s="57" customFormat="1" ht="21">
      <c r="A113" s="446">
        <v>106</v>
      </c>
      <c r="B113" s="385" t="s">
        <v>30</v>
      </c>
      <c r="C113" s="395" t="s">
        <v>528</v>
      </c>
      <c r="D113" s="396" t="s">
        <v>529</v>
      </c>
      <c r="E113" s="388" t="s">
        <v>376</v>
      </c>
      <c r="F113" s="397">
        <v>1</v>
      </c>
      <c r="G113" s="390">
        <v>3100200417545</v>
      </c>
      <c r="H113" s="391">
        <v>217784</v>
      </c>
      <c r="I113" s="306">
        <f>DATEDIF(H113,$S$20,"Y")</f>
        <v>63</v>
      </c>
      <c r="J113" s="306">
        <f>DATEDIF(H113,$S$20,"YM")</f>
        <v>5</v>
      </c>
      <c r="K113" s="306">
        <f>DATEDIF(H113,$S$20,"MD")</f>
        <v>23</v>
      </c>
      <c r="L113" s="306" t="str">
        <f>I113&amp;" ปี  "&amp;J113&amp;" เดือน  "&amp;K113&amp;" วัน"</f>
        <v>63 ปี  5 เดือน  23 วัน</v>
      </c>
      <c r="M113" s="365">
        <f>IF(I113&lt;=69,600,IF(I113&lt;=79,700,IF(I113&lt;=89,800,IF(I113&gt;=90,1000))))</f>
        <v>600</v>
      </c>
      <c r="N113" s="365"/>
      <c r="O113" s="398"/>
      <c r="P113" s="80"/>
      <c r="Q113" s="481" t="s">
        <v>1522</v>
      </c>
      <c r="R113" s="482"/>
      <c r="S113" s="482"/>
      <c r="T113" s="119"/>
      <c r="U113" s="119"/>
      <c r="V113" s="119"/>
      <c r="W113" s="119"/>
      <c r="X113" s="80"/>
    </row>
    <row r="114" spans="1:24" s="57" customFormat="1" ht="21">
      <c r="A114" s="446">
        <v>107</v>
      </c>
      <c r="B114" s="358" t="s">
        <v>32</v>
      </c>
      <c r="C114" s="380" t="s">
        <v>530</v>
      </c>
      <c r="D114" s="381" t="s">
        <v>531</v>
      </c>
      <c r="E114" s="361" t="s">
        <v>532</v>
      </c>
      <c r="F114" s="394">
        <v>1</v>
      </c>
      <c r="G114" s="363">
        <v>3100200018349</v>
      </c>
      <c r="H114" s="364">
        <v>217960</v>
      </c>
      <c r="I114" s="307">
        <f>DATEDIF(H114,$S$20,"Y")</f>
        <v>63</v>
      </c>
      <c r="J114" s="306">
        <f>DATEDIF(H114,$S$20,"YM")</f>
        <v>0</v>
      </c>
      <c r="K114" s="306">
        <f>DATEDIF(H114,$S$20,"MD")</f>
        <v>0</v>
      </c>
      <c r="L114" s="306" t="str">
        <f>I114&amp;" ปี  "&amp;J114&amp;" เดือน  "&amp;K114&amp;" วัน"</f>
        <v>63 ปี  0 เดือน  0 วัน</v>
      </c>
      <c r="M114" s="365">
        <f>IF(I114&lt;=69,600,IF(I114&lt;=79,700,IF(I114&lt;=89,800,IF(I114&gt;=90,1000))))</f>
        <v>600</v>
      </c>
      <c r="N114" s="365"/>
      <c r="O114" s="367"/>
      <c r="P114" s="80"/>
      <c r="Q114" s="119"/>
      <c r="R114" s="119"/>
      <c r="S114" s="119"/>
      <c r="T114" s="119"/>
      <c r="U114" s="119"/>
      <c r="V114" s="119"/>
      <c r="W114" s="119"/>
      <c r="X114" s="80"/>
    </row>
    <row r="115" spans="1:24" s="57" customFormat="1" ht="21">
      <c r="A115" s="446">
        <v>108</v>
      </c>
      <c r="B115" s="358" t="s">
        <v>32</v>
      </c>
      <c r="C115" s="380" t="s">
        <v>148</v>
      </c>
      <c r="D115" s="381" t="s">
        <v>533</v>
      </c>
      <c r="E115" s="361" t="s">
        <v>534</v>
      </c>
      <c r="F115" s="394">
        <v>1</v>
      </c>
      <c r="G115" s="363">
        <v>3101200574901</v>
      </c>
      <c r="H115" s="364">
        <v>217322</v>
      </c>
      <c r="I115" s="307">
        <f>DATEDIF(H115,$S$20,"Y")</f>
        <v>64</v>
      </c>
      <c r="J115" s="306">
        <f>DATEDIF(H115,$S$20,"YM")</f>
        <v>8</v>
      </c>
      <c r="K115" s="306">
        <f>DATEDIF(H115,$S$20,"MD")</f>
        <v>29</v>
      </c>
      <c r="L115" s="306" t="str">
        <f>I115&amp;" ปี  "&amp;J115&amp;" เดือน  "&amp;K115&amp;" วัน"</f>
        <v>64 ปี  8 เดือน  29 วัน</v>
      </c>
      <c r="M115" s="365">
        <f>IF(I115&lt;=69,600,IF(I115&lt;=79,700,IF(I115&lt;=89,800,IF(I115&gt;=90,1000))))</f>
        <v>600</v>
      </c>
      <c r="N115" s="365"/>
      <c r="O115" s="379"/>
      <c r="U115" s="119"/>
      <c r="V115" s="119"/>
      <c r="W115" s="119"/>
      <c r="X115" s="80"/>
    </row>
    <row r="116" spans="1:24" s="57" customFormat="1" ht="21">
      <c r="A116" s="446">
        <v>109</v>
      </c>
      <c r="B116" s="358" t="s">
        <v>31</v>
      </c>
      <c r="C116" s="359" t="s">
        <v>535</v>
      </c>
      <c r="D116" s="360" t="s">
        <v>536</v>
      </c>
      <c r="E116" s="361" t="s">
        <v>537</v>
      </c>
      <c r="F116" s="394">
        <v>1</v>
      </c>
      <c r="G116" s="363">
        <v>3102001947848</v>
      </c>
      <c r="H116" s="364">
        <v>216957</v>
      </c>
      <c r="I116" s="307">
        <f aca="true" t="shared" si="23" ref="I116:I121">DATEDIF(H116,$S$20,"Y")</f>
        <v>65</v>
      </c>
      <c r="J116" s="306">
        <f aca="true" t="shared" si="24" ref="J116:J121">DATEDIF(H116,$S$20,"YM")</f>
        <v>8</v>
      </c>
      <c r="K116" s="306">
        <f aca="true" t="shared" si="25" ref="K116:K121">DATEDIF(H116,$S$20,"MD")</f>
        <v>29</v>
      </c>
      <c r="L116" s="306" t="str">
        <f aca="true" t="shared" si="26" ref="L116:L121">I116&amp;" ปี  "&amp;J116&amp;" เดือน  "&amp;K116&amp;" วัน"</f>
        <v>65 ปี  8 เดือน  29 วัน</v>
      </c>
      <c r="M116" s="365">
        <f aca="true" t="shared" si="27" ref="M116:M121">IF(I116&lt;=69,600,IF(I116&lt;=79,700,IF(I116&lt;=89,800,IF(I116&gt;=90,1000))))</f>
        <v>600</v>
      </c>
      <c r="N116" s="365"/>
      <c r="O116" s="367"/>
      <c r="P116" s="80"/>
      <c r="Q116" s="119"/>
      <c r="R116" s="119"/>
      <c r="S116" s="119"/>
      <c r="T116" s="119"/>
      <c r="U116" s="119"/>
      <c r="V116" s="119"/>
      <c r="W116" s="119"/>
      <c r="X116" s="80"/>
    </row>
    <row r="117" spans="1:24" s="57" customFormat="1" ht="21">
      <c r="A117" s="446">
        <v>110</v>
      </c>
      <c r="B117" s="358" t="s">
        <v>30</v>
      </c>
      <c r="C117" s="359" t="s">
        <v>160</v>
      </c>
      <c r="D117" s="360" t="s">
        <v>538</v>
      </c>
      <c r="E117" s="361" t="s">
        <v>539</v>
      </c>
      <c r="F117" s="394">
        <v>1</v>
      </c>
      <c r="G117" s="363">
        <v>3110300165262</v>
      </c>
      <c r="H117" s="364">
        <v>215861</v>
      </c>
      <c r="I117" s="307">
        <f t="shared" si="23"/>
        <v>68</v>
      </c>
      <c r="J117" s="306">
        <f t="shared" si="24"/>
        <v>8</v>
      </c>
      <c r="K117" s="306">
        <f t="shared" si="25"/>
        <v>29</v>
      </c>
      <c r="L117" s="306" t="str">
        <f t="shared" si="26"/>
        <v>68 ปี  8 เดือน  29 วัน</v>
      </c>
      <c r="M117" s="365">
        <f t="shared" si="27"/>
        <v>600</v>
      </c>
      <c r="N117" s="365"/>
      <c r="O117" s="367"/>
      <c r="P117" s="80"/>
      <c r="Q117" s="119"/>
      <c r="R117" s="119"/>
      <c r="S117" s="119"/>
      <c r="T117" s="119"/>
      <c r="U117" s="119"/>
      <c r="V117" s="119"/>
      <c r="W117" s="119"/>
      <c r="X117" s="80"/>
    </row>
    <row r="118" spans="1:24" s="57" customFormat="1" ht="21">
      <c r="A118" s="446">
        <v>111</v>
      </c>
      <c r="B118" s="358" t="s">
        <v>30</v>
      </c>
      <c r="C118" s="359" t="s">
        <v>540</v>
      </c>
      <c r="D118" s="360" t="s">
        <v>541</v>
      </c>
      <c r="E118" s="361" t="s">
        <v>542</v>
      </c>
      <c r="F118" s="394">
        <v>1</v>
      </c>
      <c r="G118" s="363">
        <v>3101500814796</v>
      </c>
      <c r="H118" s="364">
        <v>216756</v>
      </c>
      <c r="I118" s="307">
        <f t="shared" si="23"/>
        <v>66</v>
      </c>
      <c r="J118" s="306">
        <f t="shared" si="24"/>
        <v>3</v>
      </c>
      <c r="K118" s="306">
        <f t="shared" si="25"/>
        <v>16</v>
      </c>
      <c r="L118" s="306" t="str">
        <f t="shared" si="26"/>
        <v>66 ปี  3 เดือน  16 วัน</v>
      </c>
      <c r="M118" s="365">
        <f t="shared" si="27"/>
        <v>600</v>
      </c>
      <c r="N118" s="365"/>
      <c r="O118" s="367"/>
      <c r="P118" s="80"/>
      <c r="Q118" s="119"/>
      <c r="R118" s="119"/>
      <c r="S118" s="119"/>
      <c r="T118" s="119"/>
      <c r="U118" s="119"/>
      <c r="V118" s="119"/>
      <c r="W118" s="119"/>
      <c r="X118" s="80"/>
    </row>
    <row r="119" spans="1:24" s="57" customFormat="1" ht="21">
      <c r="A119" s="446">
        <v>112</v>
      </c>
      <c r="B119" s="358" t="s">
        <v>30</v>
      </c>
      <c r="C119" s="359" t="s">
        <v>543</v>
      </c>
      <c r="D119" s="360" t="s">
        <v>544</v>
      </c>
      <c r="E119" s="361" t="s">
        <v>542</v>
      </c>
      <c r="F119" s="394">
        <v>1</v>
      </c>
      <c r="G119" s="363">
        <v>3720700295991</v>
      </c>
      <c r="H119" s="364">
        <v>216957</v>
      </c>
      <c r="I119" s="307">
        <f t="shared" si="23"/>
        <v>65</v>
      </c>
      <c r="J119" s="306">
        <f t="shared" si="24"/>
        <v>8</v>
      </c>
      <c r="K119" s="306">
        <f t="shared" si="25"/>
        <v>29</v>
      </c>
      <c r="L119" s="306" t="str">
        <f t="shared" si="26"/>
        <v>65 ปี  8 เดือน  29 วัน</v>
      </c>
      <c r="M119" s="365">
        <f t="shared" si="27"/>
        <v>600</v>
      </c>
      <c r="N119" s="365"/>
      <c r="O119" s="367"/>
      <c r="P119" s="80"/>
      <c r="Q119" s="119"/>
      <c r="R119" s="119"/>
      <c r="S119" s="119"/>
      <c r="T119" s="119"/>
      <c r="U119" s="119"/>
      <c r="V119" s="119"/>
      <c r="W119" s="119"/>
      <c r="X119" s="80"/>
    </row>
    <row r="120" spans="1:24" s="57" customFormat="1" ht="21">
      <c r="A120" s="446">
        <v>113</v>
      </c>
      <c r="B120" s="358" t="s">
        <v>30</v>
      </c>
      <c r="C120" s="359" t="s">
        <v>545</v>
      </c>
      <c r="D120" s="360" t="s">
        <v>546</v>
      </c>
      <c r="E120" s="361" t="s">
        <v>547</v>
      </c>
      <c r="F120" s="394">
        <v>1</v>
      </c>
      <c r="G120" s="363">
        <v>5100200048830</v>
      </c>
      <c r="H120" s="364">
        <v>217574</v>
      </c>
      <c r="I120" s="307">
        <f t="shared" si="23"/>
        <v>64</v>
      </c>
      <c r="J120" s="306">
        <f t="shared" si="24"/>
        <v>0</v>
      </c>
      <c r="K120" s="306">
        <f t="shared" si="25"/>
        <v>20</v>
      </c>
      <c r="L120" s="306" t="str">
        <f t="shared" si="26"/>
        <v>64 ปี  0 เดือน  20 วัน</v>
      </c>
      <c r="M120" s="365">
        <f t="shared" si="27"/>
        <v>600</v>
      </c>
      <c r="N120" s="365"/>
      <c r="O120" s="367"/>
      <c r="P120" s="80"/>
      <c r="Q120" s="119"/>
      <c r="R120" s="119"/>
      <c r="S120" s="119"/>
      <c r="T120" s="119"/>
      <c r="U120" s="119"/>
      <c r="V120" s="119"/>
      <c r="W120" s="119"/>
      <c r="X120" s="80"/>
    </row>
    <row r="121" spans="1:24" s="57" customFormat="1" ht="21">
      <c r="A121" s="446">
        <v>114</v>
      </c>
      <c r="B121" s="358" t="s">
        <v>31</v>
      </c>
      <c r="C121" s="359" t="s">
        <v>87</v>
      </c>
      <c r="D121" s="360" t="s">
        <v>548</v>
      </c>
      <c r="E121" s="361" t="s">
        <v>549</v>
      </c>
      <c r="F121" s="394">
        <v>1</v>
      </c>
      <c r="G121" s="363">
        <v>3730600577129</v>
      </c>
      <c r="H121" s="364">
        <v>218043</v>
      </c>
      <c r="I121" s="307">
        <f t="shared" si="23"/>
        <v>62</v>
      </c>
      <c r="J121" s="306">
        <f t="shared" si="24"/>
        <v>9</v>
      </c>
      <c r="K121" s="306">
        <f t="shared" si="25"/>
        <v>8</v>
      </c>
      <c r="L121" s="306" t="str">
        <f t="shared" si="26"/>
        <v>62 ปี  9 เดือน  8 วัน</v>
      </c>
      <c r="M121" s="365">
        <f t="shared" si="27"/>
        <v>600</v>
      </c>
      <c r="N121" s="365"/>
      <c r="O121" s="379" t="s">
        <v>550</v>
      </c>
      <c r="P121" s="80"/>
      <c r="Q121" s="119"/>
      <c r="R121" s="119"/>
      <c r="S121" s="119"/>
      <c r="T121" s="119"/>
      <c r="U121" s="119"/>
      <c r="V121" s="119"/>
      <c r="W121" s="119"/>
      <c r="X121" s="80"/>
    </row>
    <row r="122" spans="1:24" s="57" customFormat="1" ht="21">
      <c r="A122" s="446">
        <v>115</v>
      </c>
      <c r="B122" s="358" t="s">
        <v>31</v>
      </c>
      <c r="C122" s="359" t="s">
        <v>452</v>
      </c>
      <c r="D122" s="360" t="s">
        <v>507</v>
      </c>
      <c r="E122" s="361" t="s">
        <v>508</v>
      </c>
      <c r="F122" s="394">
        <v>1</v>
      </c>
      <c r="G122" s="363">
        <v>3730300853724</v>
      </c>
      <c r="H122" s="364">
        <v>218061</v>
      </c>
      <c r="I122" s="307">
        <f aca="true" t="shared" si="28" ref="I122:I227">DATEDIF(H122,$S$20,"Y")</f>
        <v>62</v>
      </c>
      <c r="J122" s="306">
        <f aca="true" t="shared" si="29" ref="J122:J227">DATEDIF(H122,$S$20,"YM")</f>
        <v>8</v>
      </c>
      <c r="K122" s="306">
        <f aca="true" t="shared" si="30" ref="K122:K227">DATEDIF(H122,$S$20,"MD")</f>
        <v>21</v>
      </c>
      <c r="L122" s="306" t="str">
        <f aca="true" t="shared" si="31" ref="L122:L227">I122&amp;" ปี  "&amp;J122&amp;" เดือน  "&amp;K122&amp;" วัน"</f>
        <v>62 ปี  8 เดือน  21 วัน</v>
      </c>
      <c r="M122" s="365">
        <f aca="true" t="shared" si="32" ref="M122:M227">IF(I122&lt;=69,600,IF(I122&lt;=79,700,IF(I122&lt;=89,800,IF(I122&gt;=90,1000))))</f>
        <v>600</v>
      </c>
      <c r="N122" s="365"/>
      <c r="O122" s="379" t="s">
        <v>550</v>
      </c>
      <c r="P122" s="80"/>
      <c r="Q122" s="119"/>
      <c r="R122" s="119"/>
      <c r="S122" s="119"/>
      <c r="T122" s="119"/>
      <c r="U122" s="119"/>
      <c r="V122" s="119"/>
      <c r="W122" s="119"/>
      <c r="X122" s="80"/>
    </row>
    <row r="123" spans="1:24" s="57" customFormat="1" ht="21">
      <c r="A123" s="446">
        <v>116</v>
      </c>
      <c r="B123" s="358" t="s">
        <v>30</v>
      </c>
      <c r="C123" s="359" t="s">
        <v>551</v>
      </c>
      <c r="D123" s="360" t="s">
        <v>552</v>
      </c>
      <c r="E123" s="361" t="s">
        <v>553</v>
      </c>
      <c r="F123" s="394">
        <v>1</v>
      </c>
      <c r="G123" s="363">
        <v>3100200931879</v>
      </c>
      <c r="H123" s="364">
        <v>215723</v>
      </c>
      <c r="I123" s="307">
        <f t="shared" si="28"/>
        <v>69</v>
      </c>
      <c r="J123" s="306">
        <f t="shared" si="29"/>
        <v>1</v>
      </c>
      <c r="K123" s="306">
        <f t="shared" si="30"/>
        <v>14</v>
      </c>
      <c r="L123" s="306" t="str">
        <f t="shared" si="31"/>
        <v>69 ปี  1 เดือน  14 วัน</v>
      </c>
      <c r="M123" s="365">
        <f t="shared" si="32"/>
        <v>600</v>
      </c>
      <c r="N123" s="365"/>
      <c r="O123" s="379" t="s">
        <v>550</v>
      </c>
      <c r="P123" s="80"/>
      <c r="Q123" s="119"/>
      <c r="R123" s="119"/>
      <c r="S123" s="119"/>
      <c r="T123" s="119"/>
      <c r="U123" s="119"/>
      <c r="V123" s="119"/>
      <c r="W123" s="119"/>
      <c r="X123" s="80"/>
    </row>
    <row r="124" spans="1:24" s="57" customFormat="1" ht="21">
      <c r="A124" s="446">
        <v>117</v>
      </c>
      <c r="B124" s="358" t="s">
        <v>30</v>
      </c>
      <c r="C124" s="382" t="s">
        <v>554</v>
      </c>
      <c r="D124" s="383" t="s">
        <v>555</v>
      </c>
      <c r="E124" s="361" t="s">
        <v>556</v>
      </c>
      <c r="F124" s="394">
        <v>1</v>
      </c>
      <c r="G124" s="363">
        <v>3101203413720</v>
      </c>
      <c r="H124" s="364">
        <v>218124</v>
      </c>
      <c r="I124" s="307">
        <f t="shared" si="28"/>
        <v>62</v>
      </c>
      <c r="J124" s="306">
        <f t="shared" si="29"/>
        <v>6</v>
      </c>
      <c r="K124" s="306">
        <f t="shared" si="30"/>
        <v>17</v>
      </c>
      <c r="L124" s="306" t="str">
        <f t="shared" si="31"/>
        <v>62 ปี  6 เดือน  17 วัน</v>
      </c>
      <c r="M124" s="365">
        <f t="shared" si="32"/>
        <v>600</v>
      </c>
      <c r="N124" s="365"/>
      <c r="O124" s="379" t="s">
        <v>550</v>
      </c>
      <c r="P124" s="80"/>
      <c r="Q124" s="119"/>
      <c r="R124" s="119"/>
      <c r="S124" s="119"/>
      <c r="T124" s="119"/>
      <c r="U124" s="119"/>
      <c r="V124" s="119"/>
      <c r="W124" s="119"/>
      <c r="X124" s="80"/>
    </row>
    <row r="125" spans="1:24" s="57" customFormat="1" ht="21">
      <c r="A125" s="446">
        <v>118</v>
      </c>
      <c r="B125" s="358" t="s">
        <v>32</v>
      </c>
      <c r="C125" s="382" t="s">
        <v>557</v>
      </c>
      <c r="D125" s="383" t="s">
        <v>558</v>
      </c>
      <c r="E125" s="361" t="s">
        <v>559</v>
      </c>
      <c r="F125" s="394">
        <v>1</v>
      </c>
      <c r="G125" s="363">
        <v>3100903257754</v>
      </c>
      <c r="H125" s="364">
        <v>218117</v>
      </c>
      <c r="I125" s="307">
        <f t="shared" si="28"/>
        <v>62</v>
      </c>
      <c r="J125" s="306">
        <f t="shared" si="29"/>
        <v>6</v>
      </c>
      <c r="K125" s="306">
        <f t="shared" si="30"/>
        <v>24</v>
      </c>
      <c r="L125" s="306" t="str">
        <f t="shared" si="31"/>
        <v>62 ปี  6 เดือน  24 วัน</v>
      </c>
      <c r="M125" s="365">
        <f t="shared" si="32"/>
        <v>600</v>
      </c>
      <c r="N125" s="365"/>
      <c r="O125" s="379" t="s">
        <v>550</v>
      </c>
      <c r="P125" s="80"/>
      <c r="Q125" s="119"/>
      <c r="R125" s="119"/>
      <c r="S125" s="119"/>
      <c r="T125" s="119"/>
      <c r="U125" s="119"/>
      <c r="V125" s="119"/>
      <c r="W125" s="119"/>
      <c r="X125" s="80"/>
    </row>
    <row r="126" spans="1:24" s="57" customFormat="1" ht="21">
      <c r="A126" s="446">
        <v>119</v>
      </c>
      <c r="B126" s="358" t="s">
        <v>32</v>
      </c>
      <c r="C126" s="382" t="s">
        <v>560</v>
      </c>
      <c r="D126" s="383" t="s">
        <v>561</v>
      </c>
      <c r="E126" s="361" t="s">
        <v>562</v>
      </c>
      <c r="F126" s="394">
        <v>1</v>
      </c>
      <c r="G126" s="363">
        <v>3669700067571</v>
      </c>
      <c r="H126" s="364">
        <v>218097</v>
      </c>
      <c r="I126" s="307">
        <f t="shared" si="28"/>
        <v>62</v>
      </c>
      <c r="J126" s="306">
        <f t="shared" si="29"/>
        <v>7</v>
      </c>
      <c r="K126" s="306">
        <f t="shared" si="30"/>
        <v>16</v>
      </c>
      <c r="L126" s="306" t="str">
        <f t="shared" si="31"/>
        <v>62 ปี  7 เดือน  16 วัน</v>
      </c>
      <c r="M126" s="365">
        <f t="shared" si="32"/>
        <v>600</v>
      </c>
      <c r="N126" s="365"/>
      <c r="O126" s="379" t="s">
        <v>550</v>
      </c>
      <c r="P126" s="80"/>
      <c r="R126" s="119"/>
      <c r="S126" s="119"/>
      <c r="T126" s="119"/>
      <c r="U126" s="119"/>
      <c r="V126" s="119"/>
      <c r="W126" s="119"/>
      <c r="X126" s="80"/>
    </row>
    <row r="127" spans="1:24" s="57" customFormat="1" ht="21">
      <c r="A127" s="446">
        <v>120</v>
      </c>
      <c r="B127" s="358" t="s">
        <v>31</v>
      </c>
      <c r="C127" s="382" t="s">
        <v>563</v>
      </c>
      <c r="D127" s="383" t="s">
        <v>564</v>
      </c>
      <c r="E127" s="361" t="s">
        <v>565</v>
      </c>
      <c r="F127" s="394">
        <v>1</v>
      </c>
      <c r="G127" s="363">
        <v>3102002224459</v>
      </c>
      <c r="H127" s="364">
        <v>218055</v>
      </c>
      <c r="I127" s="307">
        <f t="shared" si="28"/>
        <v>62</v>
      </c>
      <c r="J127" s="306">
        <f t="shared" si="29"/>
        <v>8</v>
      </c>
      <c r="K127" s="306">
        <f t="shared" si="30"/>
        <v>27</v>
      </c>
      <c r="L127" s="306" t="str">
        <f t="shared" si="31"/>
        <v>62 ปี  8 เดือน  27 วัน</v>
      </c>
      <c r="M127" s="365">
        <f t="shared" si="32"/>
        <v>600</v>
      </c>
      <c r="N127" s="365"/>
      <c r="O127" s="379" t="s">
        <v>550</v>
      </c>
      <c r="P127" s="80"/>
      <c r="Q127" s="119"/>
      <c r="R127" s="119"/>
      <c r="S127" s="119"/>
      <c r="T127" s="119"/>
      <c r="U127" s="119"/>
      <c r="V127" s="119"/>
      <c r="W127" s="119"/>
      <c r="X127" s="80"/>
    </row>
    <row r="128" spans="1:24" s="57" customFormat="1" ht="21">
      <c r="A128" s="446">
        <v>121</v>
      </c>
      <c r="B128" s="358" t="s">
        <v>31</v>
      </c>
      <c r="C128" s="382" t="s">
        <v>566</v>
      </c>
      <c r="D128" s="383" t="s">
        <v>567</v>
      </c>
      <c r="E128" s="361" t="s">
        <v>568</v>
      </c>
      <c r="F128" s="394">
        <v>1</v>
      </c>
      <c r="G128" s="363">
        <v>3101501777461</v>
      </c>
      <c r="H128" s="364">
        <v>218053</v>
      </c>
      <c r="I128" s="307">
        <f t="shared" si="28"/>
        <v>62</v>
      </c>
      <c r="J128" s="306">
        <f t="shared" si="29"/>
        <v>8</v>
      </c>
      <c r="K128" s="306">
        <f t="shared" si="30"/>
        <v>29</v>
      </c>
      <c r="L128" s="306" t="str">
        <f t="shared" si="31"/>
        <v>62 ปี  8 เดือน  29 วัน</v>
      </c>
      <c r="M128" s="365">
        <f t="shared" si="32"/>
        <v>600</v>
      </c>
      <c r="N128" s="365"/>
      <c r="O128" s="379" t="s">
        <v>550</v>
      </c>
      <c r="P128" s="80"/>
      <c r="Q128" s="119"/>
      <c r="R128" s="119"/>
      <c r="S128" s="119"/>
      <c r="T128" s="119"/>
      <c r="U128" s="119"/>
      <c r="V128" s="119"/>
      <c r="W128" s="119"/>
      <c r="X128" s="80"/>
    </row>
    <row r="129" spans="1:24" s="57" customFormat="1" ht="21">
      <c r="A129" s="446">
        <v>122</v>
      </c>
      <c r="B129" s="358" t="s">
        <v>32</v>
      </c>
      <c r="C129" s="359" t="s">
        <v>149</v>
      </c>
      <c r="D129" s="360" t="s">
        <v>569</v>
      </c>
      <c r="E129" s="361" t="s">
        <v>570</v>
      </c>
      <c r="F129" s="394">
        <v>1</v>
      </c>
      <c r="G129" s="363">
        <v>3501100004050</v>
      </c>
      <c r="H129" s="364">
        <v>218077</v>
      </c>
      <c r="I129" s="307">
        <f t="shared" si="28"/>
        <v>62</v>
      </c>
      <c r="J129" s="306">
        <f t="shared" si="29"/>
        <v>8</v>
      </c>
      <c r="K129" s="306">
        <f t="shared" si="30"/>
        <v>5</v>
      </c>
      <c r="L129" s="306" t="str">
        <f t="shared" si="31"/>
        <v>62 ปี  8 เดือน  5 วัน</v>
      </c>
      <c r="M129" s="365">
        <f t="shared" si="32"/>
        <v>600</v>
      </c>
      <c r="N129" s="365"/>
      <c r="O129" s="379" t="s">
        <v>550</v>
      </c>
      <c r="P129" s="80"/>
      <c r="Q129" s="119"/>
      <c r="R129" s="119"/>
      <c r="S129" s="119"/>
      <c r="T129" s="119"/>
      <c r="U129" s="119"/>
      <c r="V129" s="119"/>
      <c r="W129" s="119"/>
      <c r="X129" s="80"/>
    </row>
    <row r="130" spans="1:24" s="57" customFormat="1" ht="21">
      <c r="A130" s="446">
        <v>123</v>
      </c>
      <c r="B130" s="358" t="s">
        <v>31</v>
      </c>
      <c r="C130" s="382" t="s">
        <v>571</v>
      </c>
      <c r="D130" s="383" t="s">
        <v>572</v>
      </c>
      <c r="E130" s="361" t="s">
        <v>573</v>
      </c>
      <c r="F130" s="394">
        <v>1</v>
      </c>
      <c r="G130" s="363">
        <v>3101202186622</v>
      </c>
      <c r="H130" s="364">
        <v>218243</v>
      </c>
      <c r="I130" s="307">
        <f t="shared" si="28"/>
        <v>62</v>
      </c>
      <c r="J130" s="306">
        <f t="shared" si="29"/>
        <v>2</v>
      </c>
      <c r="K130" s="306">
        <f t="shared" si="30"/>
        <v>20</v>
      </c>
      <c r="L130" s="306" t="str">
        <f t="shared" si="31"/>
        <v>62 ปี  2 เดือน  20 วัน</v>
      </c>
      <c r="M130" s="365">
        <f t="shared" si="32"/>
        <v>600</v>
      </c>
      <c r="N130" s="365"/>
      <c r="O130" s="379" t="s">
        <v>550</v>
      </c>
      <c r="P130" s="80"/>
      <c r="Q130" s="119"/>
      <c r="R130" s="119"/>
      <c r="S130" s="119"/>
      <c r="T130" s="119"/>
      <c r="U130" s="119"/>
      <c r="V130" s="119"/>
      <c r="W130" s="119"/>
      <c r="X130" s="80"/>
    </row>
    <row r="131" spans="1:24" s="57" customFormat="1" ht="21">
      <c r="A131" s="446">
        <v>124</v>
      </c>
      <c r="B131" s="358" t="s">
        <v>31</v>
      </c>
      <c r="C131" s="382" t="s">
        <v>1377</v>
      </c>
      <c r="D131" s="383" t="s">
        <v>574</v>
      </c>
      <c r="E131" s="361" t="s">
        <v>575</v>
      </c>
      <c r="F131" s="394">
        <v>1</v>
      </c>
      <c r="G131" s="363">
        <v>3101801026746</v>
      </c>
      <c r="H131" s="364">
        <v>218055</v>
      </c>
      <c r="I131" s="307">
        <f t="shared" si="28"/>
        <v>62</v>
      </c>
      <c r="J131" s="306">
        <f t="shared" si="29"/>
        <v>8</v>
      </c>
      <c r="K131" s="306">
        <f t="shared" si="30"/>
        <v>27</v>
      </c>
      <c r="L131" s="306" t="str">
        <f t="shared" si="31"/>
        <v>62 ปี  8 เดือน  27 วัน</v>
      </c>
      <c r="M131" s="365">
        <f t="shared" si="32"/>
        <v>600</v>
      </c>
      <c r="N131" s="365"/>
      <c r="O131" s="379" t="s">
        <v>550</v>
      </c>
      <c r="P131" s="80"/>
      <c r="Q131" s="119"/>
      <c r="R131" s="119"/>
      <c r="S131" s="119"/>
      <c r="T131" s="119"/>
      <c r="U131" s="119"/>
      <c r="V131" s="119"/>
      <c r="W131" s="119"/>
      <c r="X131" s="80"/>
    </row>
    <row r="132" spans="1:24" s="57" customFormat="1" ht="21">
      <c r="A132" s="446">
        <v>125</v>
      </c>
      <c r="B132" s="358" t="s">
        <v>30</v>
      </c>
      <c r="C132" s="382" t="s">
        <v>576</v>
      </c>
      <c r="D132" s="383" t="s">
        <v>577</v>
      </c>
      <c r="E132" s="361" t="s">
        <v>578</v>
      </c>
      <c r="F132" s="394">
        <v>1</v>
      </c>
      <c r="G132" s="363">
        <v>3102201173595</v>
      </c>
      <c r="H132" s="364">
        <v>216042</v>
      </c>
      <c r="I132" s="307">
        <f t="shared" si="28"/>
        <v>68</v>
      </c>
      <c r="J132" s="306">
        <f t="shared" si="29"/>
        <v>2</v>
      </c>
      <c r="K132" s="306">
        <f t="shared" si="30"/>
        <v>29</v>
      </c>
      <c r="L132" s="306" t="str">
        <f t="shared" si="31"/>
        <v>68 ปี  2 เดือน  29 วัน</v>
      </c>
      <c r="M132" s="365">
        <f t="shared" si="32"/>
        <v>600</v>
      </c>
      <c r="N132" s="365"/>
      <c r="O132" s="379" t="s">
        <v>550</v>
      </c>
      <c r="P132" s="80"/>
      <c r="Q132" s="119"/>
      <c r="R132" s="119"/>
      <c r="S132" s="119"/>
      <c r="T132" s="119"/>
      <c r="U132" s="119"/>
      <c r="V132" s="119"/>
      <c r="W132" s="119"/>
      <c r="X132" s="80"/>
    </row>
    <row r="133" spans="1:24" s="57" customFormat="1" ht="21">
      <c r="A133" s="446">
        <v>126</v>
      </c>
      <c r="B133" s="358" t="s">
        <v>30</v>
      </c>
      <c r="C133" s="359" t="s">
        <v>247</v>
      </c>
      <c r="D133" s="360" t="s">
        <v>579</v>
      </c>
      <c r="E133" s="361" t="s">
        <v>580</v>
      </c>
      <c r="F133" s="394">
        <v>1</v>
      </c>
      <c r="G133" s="363">
        <v>3340101077825</v>
      </c>
      <c r="H133" s="364">
        <v>218009</v>
      </c>
      <c r="I133" s="307">
        <f t="shared" si="28"/>
        <v>62</v>
      </c>
      <c r="J133" s="306">
        <f t="shared" si="29"/>
        <v>10</v>
      </c>
      <c r="K133" s="306">
        <f t="shared" si="30"/>
        <v>12</v>
      </c>
      <c r="L133" s="306" t="str">
        <f t="shared" si="31"/>
        <v>62 ปี  10 เดือน  12 วัน</v>
      </c>
      <c r="M133" s="365">
        <f t="shared" si="32"/>
        <v>600</v>
      </c>
      <c r="N133" s="365"/>
      <c r="O133" s="379" t="s">
        <v>550</v>
      </c>
      <c r="P133" s="80"/>
      <c r="Q133" s="119" t="s">
        <v>1389</v>
      </c>
      <c r="R133" s="119"/>
      <c r="S133" s="119"/>
      <c r="T133" s="119"/>
      <c r="U133" s="119"/>
      <c r="V133" s="119"/>
      <c r="W133" s="119"/>
      <c r="X133" s="80"/>
    </row>
    <row r="134" spans="1:24" s="57" customFormat="1" ht="21">
      <c r="A134" s="446">
        <v>127</v>
      </c>
      <c r="B134" s="358" t="s">
        <v>30</v>
      </c>
      <c r="C134" s="382" t="s">
        <v>581</v>
      </c>
      <c r="D134" s="383" t="s">
        <v>582</v>
      </c>
      <c r="E134" s="361" t="s">
        <v>583</v>
      </c>
      <c r="F134" s="394">
        <v>1</v>
      </c>
      <c r="G134" s="363">
        <v>3100602741622</v>
      </c>
      <c r="H134" s="364">
        <v>218223</v>
      </c>
      <c r="I134" s="307">
        <f t="shared" si="28"/>
        <v>62</v>
      </c>
      <c r="J134" s="306">
        <f t="shared" si="29"/>
        <v>3</v>
      </c>
      <c r="K134" s="306">
        <f t="shared" si="30"/>
        <v>10</v>
      </c>
      <c r="L134" s="306" t="str">
        <f t="shared" si="31"/>
        <v>62 ปี  3 เดือน  10 วัน</v>
      </c>
      <c r="M134" s="365">
        <f t="shared" si="32"/>
        <v>600</v>
      </c>
      <c r="N134" s="365"/>
      <c r="O134" s="379" t="s">
        <v>550</v>
      </c>
      <c r="P134" s="80"/>
      <c r="Q134" s="489" t="s">
        <v>1390</v>
      </c>
      <c r="R134" s="489"/>
      <c r="S134" s="489"/>
      <c r="T134" s="489"/>
      <c r="U134" s="489"/>
      <c r="V134" s="119"/>
      <c r="W134" s="119"/>
      <c r="X134" s="80"/>
    </row>
    <row r="135" spans="1:24" s="57" customFormat="1" ht="21">
      <c r="A135" s="446">
        <v>128</v>
      </c>
      <c r="B135" s="358" t="s">
        <v>31</v>
      </c>
      <c r="C135" s="382" t="s">
        <v>584</v>
      </c>
      <c r="D135" s="383" t="s">
        <v>585</v>
      </c>
      <c r="E135" s="361" t="s">
        <v>586</v>
      </c>
      <c r="F135" s="394">
        <v>1</v>
      </c>
      <c r="G135" s="363">
        <v>3100900729850</v>
      </c>
      <c r="H135" s="364">
        <v>218053</v>
      </c>
      <c r="I135" s="307">
        <f t="shared" si="28"/>
        <v>62</v>
      </c>
      <c r="J135" s="306">
        <f t="shared" si="29"/>
        <v>8</v>
      </c>
      <c r="K135" s="306">
        <f t="shared" si="30"/>
        <v>29</v>
      </c>
      <c r="L135" s="306" t="str">
        <f t="shared" si="31"/>
        <v>62 ปี  8 เดือน  29 วัน</v>
      </c>
      <c r="M135" s="365">
        <f t="shared" si="32"/>
        <v>600</v>
      </c>
      <c r="N135" s="365"/>
      <c r="O135" s="379" t="s">
        <v>550</v>
      </c>
      <c r="P135" s="80"/>
      <c r="Q135" s="119"/>
      <c r="R135" s="119"/>
      <c r="S135" s="119"/>
      <c r="T135" s="119"/>
      <c r="U135" s="119"/>
      <c r="V135" s="119"/>
      <c r="W135" s="119"/>
      <c r="X135" s="80"/>
    </row>
    <row r="136" spans="1:24" s="57" customFormat="1" ht="21">
      <c r="A136" s="446">
        <v>129</v>
      </c>
      <c r="B136" s="358" t="s">
        <v>31</v>
      </c>
      <c r="C136" s="382" t="s">
        <v>587</v>
      </c>
      <c r="D136" s="383" t="s">
        <v>588</v>
      </c>
      <c r="E136" s="361" t="s">
        <v>589</v>
      </c>
      <c r="F136" s="394">
        <v>1</v>
      </c>
      <c r="G136" s="363">
        <v>3869900042261</v>
      </c>
      <c r="H136" s="364">
        <v>217604</v>
      </c>
      <c r="I136" s="307">
        <f t="shared" si="28"/>
        <v>63</v>
      </c>
      <c r="J136" s="306">
        <f t="shared" si="29"/>
        <v>11</v>
      </c>
      <c r="K136" s="306">
        <f t="shared" si="30"/>
        <v>20</v>
      </c>
      <c r="L136" s="306" t="str">
        <f t="shared" si="31"/>
        <v>63 ปี  11 เดือน  20 วัน</v>
      </c>
      <c r="M136" s="365">
        <f t="shared" si="32"/>
        <v>600</v>
      </c>
      <c r="N136" s="365"/>
      <c r="O136" s="379" t="s">
        <v>550</v>
      </c>
      <c r="P136" s="80"/>
      <c r="Q136" s="119"/>
      <c r="R136" s="119"/>
      <c r="S136" s="119"/>
      <c r="T136" s="119"/>
      <c r="U136" s="119"/>
      <c r="V136" s="119"/>
      <c r="W136" s="119"/>
      <c r="X136" s="80"/>
    </row>
    <row r="137" spans="1:24" s="57" customFormat="1" ht="21">
      <c r="A137" s="446">
        <v>130</v>
      </c>
      <c r="B137" s="358" t="s">
        <v>32</v>
      </c>
      <c r="C137" s="382" t="s">
        <v>590</v>
      </c>
      <c r="D137" s="383" t="s">
        <v>591</v>
      </c>
      <c r="E137" s="361" t="s">
        <v>592</v>
      </c>
      <c r="F137" s="394">
        <v>1</v>
      </c>
      <c r="G137" s="363">
        <v>3102200969744</v>
      </c>
      <c r="H137" s="364">
        <v>218210</v>
      </c>
      <c r="I137" s="307">
        <f t="shared" si="28"/>
        <v>62</v>
      </c>
      <c r="J137" s="306">
        <f t="shared" si="29"/>
        <v>3</v>
      </c>
      <c r="K137" s="306">
        <f t="shared" si="30"/>
        <v>23</v>
      </c>
      <c r="L137" s="306" t="str">
        <f t="shared" si="31"/>
        <v>62 ปี  3 เดือน  23 วัน</v>
      </c>
      <c r="M137" s="365">
        <f t="shared" si="32"/>
        <v>600</v>
      </c>
      <c r="N137" s="365"/>
      <c r="O137" s="379" t="s">
        <v>550</v>
      </c>
      <c r="P137" s="80"/>
      <c r="Q137" s="119"/>
      <c r="R137" s="119"/>
      <c r="S137" s="119"/>
      <c r="T137" s="119"/>
      <c r="U137" s="119"/>
      <c r="V137" s="119"/>
      <c r="W137" s="119"/>
      <c r="X137" s="80"/>
    </row>
    <row r="138" spans="1:24" s="57" customFormat="1" ht="21">
      <c r="A138" s="446">
        <v>131</v>
      </c>
      <c r="B138" s="358" t="s">
        <v>31</v>
      </c>
      <c r="C138" s="382" t="s">
        <v>55</v>
      </c>
      <c r="D138" s="383" t="s">
        <v>593</v>
      </c>
      <c r="E138" s="361" t="s">
        <v>594</v>
      </c>
      <c r="F138" s="394">
        <v>1</v>
      </c>
      <c r="G138" s="363">
        <v>3110101911151</v>
      </c>
      <c r="H138" s="364">
        <v>218111</v>
      </c>
      <c r="I138" s="307">
        <f t="shared" si="28"/>
        <v>62</v>
      </c>
      <c r="J138" s="306">
        <f t="shared" si="29"/>
        <v>7</v>
      </c>
      <c r="K138" s="306">
        <f t="shared" si="30"/>
        <v>2</v>
      </c>
      <c r="L138" s="306" t="str">
        <f t="shared" si="31"/>
        <v>62 ปี  7 เดือน  2 วัน</v>
      </c>
      <c r="M138" s="365">
        <f t="shared" si="32"/>
        <v>600</v>
      </c>
      <c r="N138" s="365"/>
      <c r="O138" s="379" t="s">
        <v>550</v>
      </c>
      <c r="P138" s="80"/>
      <c r="Q138" s="119"/>
      <c r="R138" s="119"/>
      <c r="S138" s="119"/>
      <c r="T138" s="119"/>
      <c r="U138" s="119"/>
      <c r="V138" s="119"/>
      <c r="W138" s="119"/>
      <c r="X138" s="80"/>
    </row>
    <row r="139" spans="1:24" s="57" customFormat="1" ht="21">
      <c r="A139" s="446">
        <v>132</v>
      </c>
      <c r="B139" s="358" t="s">
        <v>31</v>
      </c>
      <c r="C139" s="382" t="s">
        <v>595</v>
      </c>
      <c r="D139" s="383" t="s">
        <v>287</v>
      </c>
      <c r="E139" s="361" t="s">
        <v>288</v>
      </c>
      <c r="F139" s="394">
        <v>1</v>
      </c>
      <c r="G139" s="363">
        <v>3730600579440</v>
      </c>
      <c r="H139" s="364">
        <v>218071</v>
      </c>
      <c r="I139" s="307">
        <f t="shared" si="28"/>
        <v>62</v>
      </c>
      <c r="J139" s="306">
        <f t="shared" si="29"/>
        <v>8</v>
      </c>
      <c r="K139" s="306">
        <f t="shared" si="30"/>
        <v>11</v>
      </c>
      <c r="L139" s="306" t="str">
        <f t="shared" si="31"/>
        <v>62 ปี  8 เดือน  11 วัน</v>
      </c>
      <c r="M139" s="365">
        <f t="shared" si="32"/>
        <v>600</v>
      </c>
      <c r="N139" s="365"/>
      <c r="O139" s="379" t="s">
        <v>550</v>
      </c>
      <c r="P139" s="80"/>
      <c r="Q139" s="119"/>
      <c r="R139" s="119"/>
      <c r="S139" s="119"/>
      <c r="T139" s="119"/>
      <c r="U139" s="119"/>
      <c r="V139" s="119"/>
      <c r="W139" s="119"/>
      <c r="X139" s="80"/>
    </row>
    <row r="140" spans="1:24" s="57" customFormat="1" ht="21">
      <c r="A140" s="446">
        <v>133</v>
      </c>
      <c r="B140" s="358" t="s">
        <v>30</v>
      </c>
      <c r="C140" s="359" t="s">
        <v>596</v>
      </c>
      <c r="D140" s="360" t="s">
        <v>597</v>
      </c>
      <c r="E140" s="361" t="s">
        <v>598</v>
      </c>
      <c r="F140" s="394">
        <v>1</v>
      </c>
      <c r="G140" s="363">
        <v>3101700868601</v>
      </c>
      <c r="H140" s="364">
        <v>218053</v>
      </c>
      <c r="I140" s="307">
        <f t="shared" si="28"/>
        <v>62</v>
      </c>
      <c r="J140" s="306">
        <f t="shared" si="29"/>
        <v>8</v>
      </c>
      <c r="K140" s="306">
        <f t="shared" si="30"/>
        <v>29</v>
      </c>
      <c r="L140" s="306" t="str">
        <f t="shared" si="31"/>
        <v>62 ปี  8 เดือน  29 วัน</v>
      </c>
      <c r="M140" s="365">
        <f t="shared" si="32"/>
        <v>600</v>
      </c>
      <c r="N140" s="365"/>
      <c r="O140" s="379" t="s">
        <v>550</v>
      </c>
      <c r="P140" s="80"/>
      <c r="Q140" s="119"/>
      <c r="R140" s="119"/>
      <c r="S140" s="119"/>
      <c r="T140" s="119"/>
      <c r="U140" s="119"/>
      <c r="V140" s="119"/>
      <c r="W140" s="119"/>
      <c r="X140" s="80"/>
    </row>
    <row r="141" spans="1:24" s="57" customFormat="1" ht="21">
      <c r="A141" s="446">
        <v>134</v>
      </c>
      <c r="B141" s="358" t="s">
        <v>30</v>
      </c>
      <c r="C141" s="382" t="s">
        <v>599</v>
      </c>
      <c r="D141" s="383" t="s">
        <v>600</v>
      </c>
      <c r="E141" s="361" t="s">
        <v>601</v>
      </c>
      <c r="F141" s="394">
        <v>1</v>
      </c>
      <c r="G141" s="363">
        <v>3700700817253</v>
      </c>
      <c r="H141" s="364">
        <v>218053</v>
      </c>
      <c r="I141" s="307">
        <f t="shared" si="28"/>
        <v>62</v>
      </c>
      <c r="J141" s="306">
        <f t="shared" si="29"/>
        <v>8</v>
      </c>
      <c r="K141" s="306">
        <f t="shared" si="30"/>
        <v>29</v>
      </c>
      <c r="L141" s="306" t="str">
        <f t="shared" si="31"/>
        <v>62 ปี  8 เดือน  29 วัน</v>
      </c>
      <c r="M141" s="365">
        <f t="shared" si="32"/>
        <v>600</v>
      </c>
      <c r="N141" s="365"/>
      <c r="O141" s="379" t="s">
        <v>550</v>
      </c>
      <c r="P141" s="80"/>
      <c r="Q141" s="119"/>
      <c r="R141" s="119"/>
      <c r="S141" s="119"/>
      <c r="T141" s="119"/>
      <c r="U141" s="119"/>
      <c r="V141" s="119"/>
      <c r="W141" s="119"/>
      <c r="X141" s="80"/>
    </row>
    <row r="142" spans="1:24" s="57" customFormat="1" ht="29.25">
      <c r="A142" s="446">
        <v>135</v>
      </c>
      <c r="B142" s="368" t="s">
        <v>30</v>
      </c>
      <c r="C142" s="399" t="s">
        <v>602</v>
      </c>
      <c r="D142" s="400" t="s">
        <v>301</v>
      </c>
      <c r="E142" s="371" t="s">
        <v>122</v>
      </c>
      <c r="F142" s="401">
        <v>1</v>
      </c>
      <c r="G142" s="373">
        <v>3730600580031</v>
      </c>
      <c r="H142" s="374">
        <v>218143</v>
      </c>
      <c r="I142" s="375">
        <f t="shared" si="28"/>
        <v>62</v>
      </c>
      <c r="J142" s="376">
        <f t="shared" si="29"/>
        <v>5</v>
      </c>
      <c r="K142" s="376">
        <f t="shared" si="30"/>
        <v>29</v>
      </c>
      <c r="L142" s="376" t="str">
        <f t="shared" si="31"/>
        <v>62 ปี  5 เดือน  29 วัน</v>
      </c>
      <c r="M142" s="377">
        <f t="shared" si="32"/>
        <v>600</v>
      </c>
      <c r="N142" s="377"/>
      <c r="O142" s="402" t="s">
        <v>550</v>
      </c>
      <c r="P142" s="80"/>
      <c r="Q142" s="272"/>
      <c r="R142" s="119"/>
      <c r="S142" s="119"/>
      <c r="T142" s="119"/>
      <c r="U142" s="119"/>
      <c r="V142" s="119"/>
      <c r="W142" s="119"/>
      <c r="X142" s="80"/>
    </row>
    <row r="143" spans="1:24" s="57" customFormat="1" ht="21">
      <c r="A143" s="446">
        <v>136</v>
      </c>
      <c r="B143" s="358" t="s">
        <v>30</v>
      </c>
      <c r="C143" s="382" t="s">
        <v>603</v>
      </c>
      <c r="D143" s="383" t="s">
        <v>604</v>
      </c>
      <c r="E143" s="361" t="s">
        <v>605</v>
      </c>
      <c r="F143" s="394">
        <v>1</v>
      </c>
      <c r="G143" s="363">
        <v>3730600577731</v>
      </c>
      <c r="H143" s="364">
        <v>218133</v>
      </c>
      <c r="I143" s="307">
        <f t="shared" si="28"/>
        <v>62</v>
      </c>
      <c r="J143" s="306">
        <f t="shared" si="29"/>
        <v>6</v>
      </c>
      <c r="K143" s="306">
        <f t="shared" si="30"/>
        <v>8</v>
      </c>
      <c r="L143" s="306" t="str">
        <f t="shared" si="31"/>
        <v>62 ปี  6 เดือน  8 วัน</v>
      </c>
      <c r="M143" s="365">
        <f t="shared" si="32"/>
        <v>600</v>
      </c>
      <c r="N143" s="365"/>
      <c r="O143" s="379" t="s">
        <v>550</v>
      </c>
      <c r="P143" s="80"/>
      <c r="Q143" s="119"/>
      <c r="R143" s="119"/>
      <c r="S143" s="119"/>
      <c r="T143" s="119"/>
      <c r="U143" s="119"/>
      <c r="V143" s="119"/>
      <c r="W143" s="119"/>
      <c r="X143" s="80"/>
    </row>
    <row r="144" spans="1:24" s="57" customFormat="1" ht="21">
      <c r="A144" s="446">
        <v>137</v>
      </c>
      <c r="B144" s="358" t="s">
        <v>32</v>
      </c>
      <c r="C144" s="382" t="s">
        <v>91</v>
      </c>
      <c r="D144" s="383" t="s">
        <v>606</v>
      </c>
      <c r="E144" s="361" t="s">
        <v>607</v>
      </c>
      <c r="F144" s="394">
        <v>1</v>
      </c>
      <c r="G144" s="363">
        <v>3730300868748</v>
      </c>
      <c r="H144" s="364">
        <v>218053</v>
      </c>
      <c r="I144" s="307">
        <f t="shared" si="28"/>
        <v>62</v>
      </c>
      <c r="J144" s="306">
        <f t="shared" si="29"/>
        <v>8</v>
      </c>
      <c r="K144" s="306">
        <f t="shared" si="30"/>
        <v>29</v>
      </c>
      <c r="L144" s="306" t="str">
        <f t="shared" si="31"/>
        <v>62 ปี  8 เดือน  29 วัน</v>
      </c>
      <c r="M144" s="365">
        <f t="shared" si="32"/>
        <v>600</v>
      </c>
      <c r="N144" s="365"/>
      <c r="O144" s="379" t="s">
        <v>550</v>
      </c>
      <c r="P144" s="80"/>
      <c r="Q144" s="119"/>
      <c r="R144" s="119"/>
      <c r="S144" s="119"/>
      <c r="T144" s="119"/>
      <c r="U144" s="119"/>
      <c r="V144" s="119"/>
      <c r="W144" s="119"/>
      <c r="X144" s="80"/>
    </row>
    <row r="145" spans="1:24" s="57" customFormat="1" ht="21">
      <c r="A145" s="446">
        <v>138</v>
      </c>
      <c r="B145" s="358" t="s">
        <v>31</v>
      </c>
      <c r="C145" s="359" t="s">
        <v>608</v>
      </c>
      <c r="D145" s="360" t="s">
        <v>609</v>
      </c>
      <c r="E145" s="361" t="s">
        <v>610</v>
      </c>
      <c r="F145" s="394">
        <v>1</v>
      </c>
      <c r="G145" s="363">
        <v>3100200088452</v>
      </c>
      <c r="H145" s="364">
        <v>218064</v>
      </c>
      <c r="I145" s="307">
        <f t="shared" si="28"/>
        <v>62</v>
      </c>
      <c r="J145" s="306">
        <f t="shared" si="29"/>
        <v>8</v>
      </c>
      <c r="K145" s="306">
        <f t="shared" si="30"/>
        <v>18</v>
      </c>
      <c r="L145" s="306" t="str">
        <f t="shared" si="31"/>
        <v>62 ปี  8 เดือน  18 วัน</v>
      </c>
      <c r="M145" s="365">
        <f t="shared" si="32"/>
        <v>600</v>
      </c>
      <c r="N145" s="365"/>
      <c r="O145" s="379" t="s">
        <v>550</v>
      </c>
      <c r="P145" s="80"/>
      <c r="Q145" s="119"/>
      <c r="R145" s="119"/>
      <c r="S145" s="119"/>
      <c r="T145" s="119"/>
      <c r="U145" s="119"/>
      <c r="V145" s="119"/>
      <c r="W145" s="119"/>
      <c r="X145" s="80"/>
    </row>
    <row r="146" spans="1:24" s="57" customFormat="1" ht="21">
      <c r="A146" s="446">
        <v>139</v>
      </c>
      <c r="B146" s="358" t="s">
        <v>30</v>
      </c>
      <c r="C146" s="359" t="s">
        <v>611</v>
      </c>
      <c r="D146" s="360" t="s">
        <v>612</v>
      </c>
      <c r="E146" s="361" t="s">
        <v>613</v>
      </c>
      <c r="F146" s="394">
        <v>1</v>
      </c>
      <c r="G146" s="363">
        <v>3101800478694</v>
      </c>
      <c r="H146" s="364">
        <v>217322</v>
      </c>
      <c r="I146" s="307">
        <f t="shared" si="28"/>
        <v>64</v>
      </c>
      <c r="J146" s="306">
        <f t="shared" si="29"/>
        <v>8</v>
      </c>
      <c r="K146" s="306">
        <f t="shared" si="30"/>
        <v>29</v>
      </c>
      <c r="L146" s="306" t="str">
        <f t="shared" si="31"/>
        <v>64 ปี  8 เดือน  29 วัน</v>
      </c>
      <c r="M146" s="365">
        <f t="shared" si="32"/>
        <v>600</v>
      </c>
      <c r="N146" s="365"/>
      <c r="O146" s="379" t="s">
        <v>550</v>
      </c>
      <c r="P146" s="80"/>
      <c r="Q146" s="119"/>
      <c r="R146" s="119"/>
      <c r="S146" s="119"/>
      <c r="T146" s="119"/>
      <c r="U146" s="119"/>
      <c r="V146" s="119"/>
      <c r="W146" s="119"/>
      <c r="X146" s="80"/>
    </row>
    <row r="147" spans="1:24" s="57" customFormat="1" ht="21">
      <c r="A147" s="446">
        <v>140</v>
      </c>
      <c r="B147" s="358" t="s">
        <v>32</v>
      </c>
      <c r="C147" s="359" t="s">
        <v>136</v>
      </c>
      <c r="D147" s="360" t="s">
        <v>1008</v>
      </c>
      <c r="E147" s="361" t="s">
        <v>1200</v>
      </c>
      <c r="F147" s="394" t="s">
        <v>1199</v>
      </c>
      <c r="G147" s="363" t="s">
        <v>1201</v>
      </c>
      <c r="H147" s="364">
        <v>218418</v>
      </c>
      <c r="I147" s="307">
        <f t="shared" si="28"/>
        <v>61</v>
      </c>
      <c r="J147" s="306">
        <f t="shared" si="29"/>
        <v>8</v>
      </c>
      <c r="K147" s="306">
        <f t="shared" si="30"/>
        <v>29</v>
      </c>
      <c r="L147" s="306" t="str">
        <f t="shared" si="31"/>
        <v>61 ปี  8 เดือน  29 วัน</v>
      </c>
      <c r="M147" s="365">
        <f t="shared" si="32"/>
        <v>600</v>
      </c>
      <c r="N147" s="365"/>
      <c r="O147" s="403" t="s">
        <v>1202</v>
      </c>
      <c r="P147" s="80"/>
      <c r="Q147" s="119"/>
      <c r="R147" s="119"/>
      <c r="S147" s="119"/>
      <c r="T147" s="119"/>
      <c r="U147" s="119"/>
      <c r="V147" s="119"/>
      <c r="W147" s="119"/>
      <c r="X147" s="80"/>
    </row>
    <row r="148" spans="1:24" s="57" customFormat="1" ht="21">
      <c r="A148" s="446">
        <v>141</v>
      </c>
      <c r="B148" s="358" t="s">
        <v>32</v>
      </c>
      <c r="C148" s="359" t="s">
        <v>1203</v>
      </c>
      <c r="D148" s="360" t="s">
        <v>1204</v>
      </c>
      <c r="E148" s="361" t="s">
        <v>1205</v>
      </c>
      <c r="F148" s="394" t="s">
        <v>1199</v>
      </c>
      <c r="G148" s="363" t="s">
        <v>1206</v>
      </c>
      <c r="H148" s="364">
        <v>218623</v>
      </c>
      <c r="I148" s="307">
        <f t="shared" si="28"/>
        <v>61</v>
      </c>
      <c r="J148" s="306">
        <f t="shared" si="29"/>
        <v>2</v>
      </c>
      <c r="K148" s="306">
        <f t="shared" si="30"/>
        <v>5</v>
      </c>
      <c r="L148" s="306" t="str">
        <f t="shared" si="31"/>
        <v>61 ปี  2 เดือน  5 วัน</v>
      </c>
      <c r="M148" s="365">
        <f t="shared" si="32"/>
        <v>600</v>
      </c>
      <c r="N148" s="365"/>
      <c r="O148" s="403" t="s">
        <v>1202</v>
      </c>
      <c r="P148" s="80"/>
      <c r="Q148" s="119"/>
      <c r="R148" s="119"/>
      <c r="S148" s="119"/>
      <c r="T148" s="119"/>
      <c r="U148" s="119"/>
      <c r="V148" s="119"/>
      <c r="W148" s="119"/>
      <c r="X148" s="80"/>
    </row>
    <row r="149" spans="1:24" s="57" customFormat="1" ht="21">
      <c r="A149" s="446">
        <v>142</v>
      </c>
      <c r="B149" s="358" t="s">
        <v>30</v>
      </c>
      <c r="C149" s="359" t="s">
        <v>230</v>
      </c>
      <c r="D149" s="360" t="s">
        <v>1207</v>
      </c>
      <c r="E149" s="361" t="s">
        <v>1208</v>
      </c>
      <c r="F149" s="394" t="s">
        <v>1199</v>
      </c>
      <c r="G149" s="363" t="s">
        <v>1209</v>
      </c>
      <c r="H149" s="364">
        <v>217712</v>
      </c>
      <c r="I149" s="307">
        <f t="shared" si="28"/>
        <v>63</v>
      </c>
      <c r="J149" s="306">
        <f t="shared" si="29"/>
        <v>8</v>
      </c>
      <c r="K149" s="306">
        <f t="shared" si="30"/>
        <v>4</v>
      </c>
      <c r="L149" s="306" t="str">
        <f t="shared" si="31"/>
        <v>63 ปี  8 เดือน  4 วัน</v>
      </c>
      <c r="M149" s="365">
        <f t="shared" si="32"/>
        <v>600</v>
      </c>
      <c r="N149" s="365"/>
      <c r="O149" s="403" t="s">
        <v>1202</v>
      </c>
      <c r="P149" s="80"/>
      <c r="Q149" s="119"/>
      <c r="R149" s="119"/>
      <c r="S149" s="119"/>
      <c r="T149" s="119"/>
      <c r="U149" s="119"/>
      <c r="V149" s="119"/>
      <c r="W149" s="119"/>
      <c r="X149" s="80"/>
    </row>
    <row r="150" spans="1:24" s="57" customFormat="1" ht="21">
      <c r="A150" s="446">
        <v>143</v>
      </c>
      <c r="B150" s="358" t="s">
        <v>32</v>
      </c>
      <c r="C150" s="359" t="s">
        <v>1210</v>
      </c>
      <c r="D150" s="360" t="s">
        <v>1211</v>
      </c>
      <c r="E150" s="361" t="s">
        <v>1212</v>
      </c>
      <c r="F150" s="394" t="s">
        <v>1199</v>
      </c>
      <c r="G150" s="363" t="s">
        <v>1213</v>
      </c>
      <c r="H150" s="364">
        <v>218418</v>
      </c>
      <c r="I150" s="307">
        <f t="shared" si="28"/>
        <v>61</v>
      </c>
      <c r="J150" s="306">
        <f t="shared" si="29"/>
        <v>8</v>
      </c>
      <c r="K150" s="306">
        <f t="shared" si="30"/>
        <v>29</v>
      </c>
      <c r="L150" s="306" t="str">
        <f t="shared" si="31"/>
        <v>61 ปี  8 เดือน  29 วัน</v>
      </c>
      <c r="M150" s="365">
        <f t="shared" si="32"/>
        <v>600</v>
      </c>
      <c r="N150" s="365"/>
      <c r="O150" s="403" t="s">
        <v>1202</v>
      </c>
      <c r="P150" s="80"/>
      <c r="Q150" s="119"/>
      <c r="R150" s="119"/>
      <c r="S150" s="119"/>
      <c r="T150" s="119"/>
      <c r="U150" s="119"/>
      <c r="V150" s="119"/>
      <c r="W150" s="119"/>
      <c r="X150" s="80"/>
    </row>
    <row r="151" spans="1:24" s="57" customFormat="1" ht="21">
      <c r="A151" s="446">
        <v>144</v>
      </c>
      <c r="B151" s="358" t="s">
        <v>32</v>
      </c>
      <c r="C151" s="359" t="s">
        <v>1214</v>
      </c>
      <c r="D151" s="360" t="s">
        <v>1215</v>
      </c>
      <c r="E151" s="361" t="s">
        <v>1216</v>
      </c>
      <c r="F151" s="394" t="s">
        <v>1199</v>
      </c>
      <c r="G151" s="363" t="s">
        <v>1217</v>
      </c>
      <c r="H151" s="364">
        <v>218572</v>
      </c>
      <c r="I151" s="307">
        <f t="shared" si="28"/>
        <v>61</v>
      </c>
      <c r="J151" s="306">
        <f t="shared" si="29"/>
        <v>3</v>
      </c>
      <c r="K151" s="306">
        <f t="shared" si="30"/>
        <v>26</v>
      </c>
      <c r="L151" s="306" t="str">
        <f t="shared" si="31"/>
        <v>61 ปี  3 เดือน  26 วัน</v>
      </c>
      <c r="M151" s="365">
        <f t="shared" si="32"/>
        <v>600</v>
      </c>
      <c r="N151" s="365"/>
      <c r="O151" s="403" t="s">
        <v>1202</v>
      </c>
      <c r="P151" s="80"/>
      <c r="Q151" s="119"/>
      <c r="R151" s="119"/>
      <c r="S151" s="119"/>
      <c r="T151" s="119"/>
      <c r="U151" s="119"/>
      <c r="V151" s="119"/>
      <c r="W151" s="119"/>
      <c r="X151" s="80"/>
    </row>
    <row r="152" spans="1:24" s="57" customFormat="1" ht="21">
      <c r="A152" s="446">
        <v>145</v>
      </c>
      <c r="B152" s="358" t="s">
        <v>30</v>
      </c>
      <c r="C152" s="359" t="s">
        <v>1218</v>
      </c>
      <c r="D152" s="360" t="s">
        <v>1219</v>
      </c>
      <c r="E152" s="361" t="s">
        <v>1220</v>
      </c>
      <c r="F152" s="394" t="s">
        <v>1199</v>
      </c>
      <c r="G152" s="363" t="s">
        <v>1221</v>
      </c>
      <c r="H152" s="364">
        <v>218611</v>
      </c>
      <c r="I152" s="307">
        <f t="shared" si="28"/>
        <v>61</v>
      </c>
      <c r="J152" s="306">
        <f t="shared" si="29"/>
        <v>2</v>
      </c>
      <c r="K152" s="306">
        <f t="shared" si="30"/>
        <v>17</v>
      </c>
      <c r="L152" s="306" t="str">
        <f t="shared" si="31"/>
        <v>61 ปี  2 เดือน  17 วัน</v>
      </c>
      <c r="M152" s="365">
        <f t="shared" si="32"/>
        <v>600</v>
      </c>
      <c r="N152" s="365"/>
      <c r="O152" s="403" t="s">
        <v>1202</v>
      </c>
      <c r="P152" s="80"/>
      <c r="Q152" s="119"/>
      <c r="R152" s="119"/>
      <c r="S152" s="119"/>
      <c r="T152" s="119"/>
      <c r="U152" s="119"/>
      <c r="V152" s="119"/>
      <c r="W152" s="119"/>
      <c r="X152" s="80"/>
    </row>
    <row r="153" spans="1:24" s="57" customFormat="1" ht="21">
      <c r="A153" s="446">
        <v>146</v>
      </c>
      <c r="B153" s="358" t="s">
        <v>31</v>
      </c>
      <c r="C153" s="359" t="s">
        <v>1222</v>
      </c>
      <c r="D153" s="360" t="s">
        <v>1219</v>
      </c>
      <c r="E153" s="361" t="s">
        <v>1220</v>
      </c>
      <c r="F153" s="394" t="s">
        <v>1199</v>
      </c>
      <c r="G153" s="363" t="s">
        <v>1223</v>
      </c>
      <c r="H153" s="364">
        <v>218592</v>
      </c>
      <c r="I153" s="307">
        <f t="shared" si="28"/>
        <v>61</v>
      </c>
      <c r="J153" s="306">
        <f t="shared" si="29"/>
        <v>3</v>
      </c>
      <c r="K153" s="306">
        <f t="shared" si="30"/>
        <v>6</v>
      </c>
      <c r="L153" s="306" t="str">
        <f t="shared" si="31"/>
        <v>61 ปี  3 เดือน  6 วัน</v>
      </c>
      <c r="M153" s="365">
        <f t="shared" si="32"/>
        <v>600</v>
      </c>
      <c r="N153" s="365"/>
      <c r="O153" s="403" t="s">
        <v>1202</v>
      </c>
      <c r="P153" s="80"/>
      <c r="Q153" s="119"/>
      <c r="R153" s="119"/>
      <c r="S153" s="119"/>
      <c r="T153" s="119"/>
      <c r="U153" s="119"/>
      <c r="V153" s="119"/>
      <c r="W153" s="119"/>
      <c r="X153" s="80"/>
    </row>
    <row r="154" spans="1:24" s="57" customFormat="1" ht="21">
      <c r="A154" s="446">
        <v>147</v>
      </c>
      <c r="B154" s="358" t="s">
        <v>31</v>
      </c>
      <c r="C154" s="359" t="s">
        <v>1224</v>
      </c>
      <c r="D154" s="360" t="s">
        <v>1181</v>
      </c>
      <c r="E154" s="361" t="s">
        <v>958</v>
      </c>
      <c r="F154" s="394" t="s">
        <v>1199</v>
      </c>
      <c r="G154" s="363" t="s">
        <v>1225</v>
      </c>
      <c r="H154" s="364">
        <v>217504</v>
      </c>
      <c r="I154" s="307">
        <f t="shared" si="28"/>
        <v>64</v>
      </c>
      <c r="J154" s="306">
        <f t="shared" si="29"/>
        <v>2</v>
      </c>
      <c r="K154" s="306">
        <f t="shared" si="30"/>
        <v>28</v>
      </c>
      <c r="L154" s="306" t="str">
        <f t="shared" si="31"/>
        <v>64 ปี  2 เดือน  28 วัน</v>
      </c>
      <c r="M154" s="365">
        <f t="shared" si="32"/>
        <v>600</v>
      </c>
      <c r="N154" s="365"/>
      <c r="O154" s="403" t="s">
        <v>1202</v>
      </c>
      <c r="P154" s="80"/>
      <c r="Q154" s="119"/>
      <c r="R154" s="119"/>
      <c r="S154" s="119"/>
      <c r="T154" s="119"/>
      <c r="U154" s="119"/>
      <c r="V154" s="119"/>
      <c r="W154" s="119"/>
      <c r="X154" s="80"/>
    </row>
    <row r="155" spans="1:24" s="57" customFormat="1" ht="21">
      <c r="A155" s="446">
        <v>148</v>
      </c>
      <c r="B155" s="358" t="s">
        <v>32</v>
      </c>
      <c r="C155" s="359" t="s">
        <v>89</v>
      </c>
      <c r="D155" s="360" t="s">
        <v>1226</v>
      </c>
      <c r="E155" s="361" t="s">
        <v>1227</v>
      </c>
      <c r="F155" s="394" t="s">
        <v>1199</v>
      </c>
      <c r="G155" s="363" t="s">
        <v>1228</v>
      </c>
      <c r="H155" s="364">
        <v>218304</v>
      </c>
      <c r="I155" s="307">
        <f t="shared" si="28"/>
        <v>62</v>
      </c>
      <c r="J155" s="306">
        <f t="shared" si="29"/>
        <v>0</v>
      </c>
      <c r="K155" s="306">
        <f t="shared" si="30"/>
        <v>21</v>
      </c>
      <c r="L155" s="306" t="str">
        <f t="shared" si="31"/>
        <v>62 ปี  0 เดือน  21 วัน</v>
      </c>
      <c r="M155" s="365">
        <f t="shared" si="32"/>
        <v>600</v>
      </c>
      <c r="N155" s="365"/>
      <c r="O155" s="403" t="s">
        <v>1202</v>
      </c>
      <c r="P155" s="80"/>
      <c r="Q155" s="119"/>
      <c r="R155" s="119"/>
      <c r="S155" s="119"/>
      <c r="T155" s="119"/>
      <c r="U155" s="119"/>
      <c r="V155" s="119"/>
      <c r="W155" s="119"/>
      <c r="X155" s="80"/>
    </row>
    <row r="156" spans="1:24" s="57" customFormat="1" ht="21">
      <c r="A156" s="446">
        <v>149</v>
      </c>
      <c r="B156" s="358" t="s">
        <v>32</v>
      </c>
      <c r="C156" s="359" t="s">
        <v>1229</v>
      </c>
      <c r="D156" s="360" t="s">
        <v>1230</v>
      </c>
      <c r="E156" s="361" t="s">
        <v>1231</v>
      </c>
      <c r="F156" s="394" t="s">
        <v>1199</v>
      </c>
      <c r="G156" s="363" t="s">
        <v>1232</v>
      </c>
      <c r="H156" s="364">
        <v>218349</v>
      </c>
      <c r="I156" s="307">
        <f t="shared" si="28"/>
        <v>61</v>
      </c>
      <c r="J156" s="306">
        <f t="shared" si="29"/>
        <v>11</v>
      </c>
      <c r="K156" s="306">
        <f t="shared" si="30"/>
        <v>6</v>
      </c>
      <c r="L156" s="306" t="str">
        <f t="shared" si="31"/>
        <v>61 ปี  11 เดือน  6 วัน</v>
      </c>
      <c r="M156" s="365">
        <f t="shared" si="32"/>
        <v>600</v>
      </c>
      <c r="N156" s="365"/>
      <c r="O156" s="403" t="s">
        <v>1202</v>
      </c>
      <c r="P156" s="80"/>
      <c r="Q156" s="119"/>
      <c r="R156" s="119"/>
      <c r="S156" s="119"/>
      <c r="T156" s="119"/>
      <c r="U156" s="119"/>
      <c r="V156" s="119"/>
      <c r="W156" s="119"/>
      <c r="X156" s="80"/>
    </row>
    <row r="157" spans="1:24" s="57" customFormat="1" ht="21">
      <c r="A157" s="446">
        <v>150</v>
      </c>
      <c r="B157" s="358" t="s">
        <v>32</v>
      </c>
      <c r="C157" s="359" t="s">
        <v>1233</v>
      </c>
      <c r="D157" s="360" t="s">
        <v>1234</v>
      </c>
      <c r="E157" s="361" t="s">
        <v>1235</v>
      </c>
      <c r="F157" s="394" t="s">
        <v>1199</v>
      </c>
      <c r="G157" s="363" t="s">
        <v>1236</v>
      </c>
      <c r="H157" s="364">
        <v>218557</v>
      </c>
      <c r="I157" s="307">
        <f t="shared" si="28"/>
        <v>61</v>
      </c>
      <c r="J157" s="306">
        <f t="shared" si="29"/>
        <v>4</v>
      </c>
      <c r="K157" s="306">
        <f t="shared" si="30"/>
        <v>10</v>
      </c>
      <c r="L157" s="306" t="str">
        <f t="shared" si="31"/>
        <v>61 ปี  4 เดือน  10 วัน</v>
      </c>
      <c r="M157" s="365">
        <f t="shared" si="32"/>
        <v>600</v>
      </c>
      <c r="N157" s="365"/>
      <c r="O157" s="403" t="s">
        <v>1202</v>
      </c>
      <c r="P157" s="80"/>
      <c r="Q157" s="119"/>
      <c r="R157" s="119"/>
      <c r="S157" s="119"/>
      <c r="T157" s="119"/>
      <c r="U157" s="119"/>
      <c r="V157" s="119"/>
      <c r="W157" s="119"/>
      <c r="X157" s="80"/>
    </row>
    <row r="158" spans="1:24" s="57" customFormat="1" ht="21">
      <c r="A158" s="446">
        <v>151</v>
      </c>
      <c r="B158" s="358" t="s">
        <v>31</v>
      </c>
      <c r="C158" s="359" t="s">
        <v>1237</v>
      </c>
      <c r="D158" s="360" t="s">
        <v>1238</v>
      </c>
      <c r="E158" s="361" t="s">
        <v>1239</v>
      </c>
      <c r="F158" s="394" t="s">
        <v>1199</v>
      </c>
      <c r="G158" s="363" t="s">
        <v>1240</v>
      </c>
      <c r="H158" s="364">
        <v>218437</v>
      </c>
      <c r="I158" s="307">
        <f t="shared" si="28"/>
        <v>61</v>
      </c>
      <c r="J158" s="306">
        <f t="shared" si="29"/>
        <v>8</v>
      </c>
      <c r="K158" s="306">
        <f t="shared" si="30"/>
        <v>10</v>
      </c>
      <c r="L158" s="306" t="str">
        <f t="shared" si="31"/>
        <v>61 ปี  8 เดือน  10 วัน</v>
      </c>
      <c r="M158" s="365">
        <f t="shared" si="32"/>
        <v>600</v>
      </c>
      <c r="N158" s="365"/>
      <c r="O158" s="403" t="s">
        <v>1202</v>
      </c>
      <c r="P158" s="80"/>
      <c r="Q158" s="119"/>
      <c r="R158" s="119"/>
      <c r="S158" s="119"/>
      <c r="T158" s="119"/>
      <c r="U158" s="119"/>
      <c r="V158" s="119"/>
      <c r="W158" s="119"/>
      <c r="X158" s="80"/>
    </row>
    <row r="159" spans="1:24" s="57" customFormat="1" ht="21">
      <c r="A159" s="446">
        <v>152</v>
      </c>
      <c r="B159" s="358" t="s">
        <v>30</v>
      </c>
      <c r="C159" s="359" t="s">
        <v>202</v>
      </c>
      <c r="D159" s="360" t="s">
        <v>1241</v>
      </c>
      <c r="E159" s="361" t="s">
        <v>1242</v>
      </c>
      <c r="F159" s="394" t="s">
        <v>1199</v>
      </c>
      <c r="G159" s="363" t="s">
        <v>1243</v>
      </c>
      <c r="H159" s="364">
        <v>218367</v>
      </c>
      <c r="I159" s="307">
        <f t="shared" si="28"/>
        <v>61</v>
      </c>
      <c r="J159" s="306">
        <f t="shared" si="29"/>
        <v>10</v>
      </c>
      <c r="K159" s="306">
        <f t="shared" si="30"/>
        <v>19</v>
      </c>
      <c r="L159" s="306" t="str">
        <f t="shared" si="31"/>
        <v>61 ปี  10 เดือน  19 วัน</v>
      </c>
      <c r="M159" s="365">
        <f t="shared" si="32"/>
        <v>600</v>
      </c>
      <c r="N159" s="365"/>
      <c r="O159" s="403" t="s">
        <v>1202</v>
      </c>
      <c r="P159" s="80"/>
      <c r="Q159" s="119"/>
      <c r="R159" s="119"/>
      <c r="S159" s="119"/>
      <c r="T159" s="119"/>
      <c r="U159" s="119"/>
      <c r="V159" s="119"/>
      <c r="W159" s="119"/>
      <c r="X159" s="80"/>
    </row>
    <row r="160" spans="1:24" s="57" customFormat="1" ht="21">
      <c r="A160" s="446">
        <v>153</v>
      </c>
      <c r="B160" s="358" t="s">
        <v>32</v>
      </c>
      <c r="C160" s="359" t="s">
        <v>1244</v>
      </c>
      <c r="D160" s="360" t="s">
        <v>1245</v>
      </c>
      <c r="E160" s="361" t="s">
        <v>1246</v>
      </c>
      <c r="F160" s="394" t="s">
        <v>1199</v>
      </c>
      <c r="G160" s="363" t="s">
        <v>1247</v>
      </c>
      <c r="H160" s="364">
        <v>218418</v>
      </c>
      <c r="I160" s="307">
        <f t="shared" si="28"/>
        <v>61</v>
      </c>
      <c r="J160" s="306">
        <f t="shared" si="29"/>
        <v>8</v>
      </c>
      <c r="K160" s="306">
        <f t="shared" si="30"/>
        <v>29</v>
      </c>
      <c r="L160" s="306" t="str">
        <f t="shared" si="31"/>
        <v>61 ปี  8 เดือน  29 วัน</v>
      </c>
      <c r="M160" s="365">
        <f t="shared" si="32"/>
        <v>600</v>
      </c>
      <c r="N160" s="365"/>
      <c r="O160" s="403" t="s">
        <v>1202</v>
      </c>
      <c r="P160" s="80"/>
      <c r="Q160" s="119"/>
      <c r="R160" s="119"/>
      <c r="S160" s="119"/>
      <c r="T160" s="119"/>
      <c r="U160" s="119"/>
      <c r="V160" s="119"/>
      <c r="W160" s="119"/>
      <c r="X160" s="80"/>
    </row>
    <row r="161" spans="1:24" s="57" customFormat="1" ht="21">
      <c r="A161" s="446">
        <v>154</v>
      </c>
      <c r="B161" s="358" t="s">
        <v>31</v>
      </c>
      <c r="C161" s="359" t="s">
        <v>1248</v>
      </c>
      <c r="D161" s="360" t="s">
        <v>1249</v>
      </c>
      <c r="E161" s="361" t="s">
        <v>1250</v>
      </c>
      <c r="F161" s="394" t="s">
        <v>1199</v>
      </c>
      <c r="G161" s="363" t="s">
        <v>1251</v>
      </c>
      <c r="H161" s="364">
        <v>217938</v>
      </c>
      <c r="I161" s="307">
        <f t="shared" si="28"/>
        <v>63</v>
      </c>
      <c r="J161" s="306">
        <f t="shared" si="29"/>
        <v>0</v>
      </c>
      <c r="K161" s="306">
        <f t="shared" si="30"/>
        <v>22</v>
      </c>
      <c r="L161" s="306" t="str">
        <f t="shared" si="31"/>
        <v>63 ปี  0 เดือน  22 วัน</v>
      </c>
      <c r="M161" s="365">
        <f t="shared" si="32"/>
        <v>600</v>
      </c>
      <c r="N161" s="365"/>
      <c r="O161" s="403" t="s">
        <v>1202</v>
      </c>
      <c r="P161" s="80"/>
      <c r="Q161" s="119"/>
      <c r="R161" s="119"/>
      <c r="S161" s="119"/>
      <c r="T161" s="119"/>
      <c r="U161" s="119"/>
      <c r="V161" s="119"/>
      <c r="W161" s="119"/>
      <c r="X161" s="80"/>
    </row>
    <row r="162" spans="1:24" s="57" customFormat="1" ht="21">
      <c r="A162" s="446">
        <v>155</v>
      </c>
      <c r="B162" s="358" t="s">
        <v>30</v>
      </c>
      <c r="C162" s="359" t="s">
        <v>247</v>
      </c>
      <c r="D162" s="360" t="s">
        <v>1252</v>
      </c>
      <c r="E162" s="361" t="s">
        <v>1253</v>
      </c>
      <c r="F162" s="394" t="s">
        <v>1199</v>
      </c>
      <c r="G162" s="363" t="s">
        <v>1254</v>
      </c>
      <c r="H162" s="364">
        <v>218174</v>
      </c>
      <c r="I162" s="307">
        <f t="shared" si="28"/>
        <v>62</v>
      </c>
      <c r="J162" s="306">
        <f t="shared" si="29"/>
        <v>4</v>
      </c>
      <c r="K162" s="306">
        <f t="shared" si="30"/>
        <v>28</v>
      </c>
      <c r="L162" s="306" t="str">
        <f t="shared" si="31"/>
        <v>62 ปี  4 เดือน  28 วัน</v>
      </c>
      <c r="M162" s="365">
        <f t="shared" si="32"/>
        <v>600</v>
      </c>
      <c r="N162" s="365"/>
      <c r="O162" s="403" t="s">
        <v>1202</v>
      </c>
      <c r="P162" s="80"/>
      <c r="Q162" s="119"/>
      <c r="R162" s="119"/>
      <c r="S162" s="119"/>
      <c r="T162" s="119"/>
      <c r="U162" s="119"/>
      <c r="V162" s="119"/>
      <c r="W162" s="119"/>
      <c r="X162" s="80"/>
    </row>
    <row r="163" spans="1:24" s="57" customFormat="1" ht="21">
      <c r="A163" s="446">
        <v>156</v>
      </c>
      <c r="B163" s="358" t="s">
        <v>31</v>
      </c>
      <c r="C163" s="359" t="s">
        <v>1255</v>
      </c>
      <c r="D163" s="360" t="s">
        <v>1256</v>
      </c>
      <c r="E163" s="361" t="s">
        <v>1257</v>
      </c>
      <c r="F163" s="394" t="s">
        <v>1199</v>
      </c>
      <c r="G163" s="363" t="s">
        <v>1258</v>
      </c>
      <c r="H163" s="364">
        <v>216957</v>
      </c>
      <c r="I163" s="307">
        <f t="shared" si="28"/>
        <v>65</v>
      </c>
      <c r="J163" s="306">
        <f t="shared" si="29"/>
        <v>8</v>
      </c>
      <c r="K163" s="306">
        <f t="shared" si="30"/>
        <v>29</v>
      </c>
      <c r="L163" s="306" t="str">
        <f t="shared" si="31"/>
        <v>65 ปี  8 เดือน  29 วัน</v>
      </c>
      <c r="M163" s="365">
        <f t="shared" si="32"/>
        <v>600</v>
      </c>
      <c r="N163" s="365"/>
      <c r="O163" s="403" t="s">
        <v>1202</v>
      </c>
      <c r="P163" s="80"/>
      <c r="Q163" s="119"/>
      <c r="R163" s="119"/>
      <c r="S163" s="119"/>
      <c r="T163" s="119"/>
      <c r="U163" s="119"/>
      <c r="V163" s="119"/>
      <c r="W163" s="119"/>
      <c r="X163" s="80"/>
    </row>
    <row r="164" spans="1:24" s="57" customFormat="1" ht="21">
      <c r="A164" s="446">
        <v>157</v>
      </c>
      <c r="B164" s="358" t="s">
        <v>30</v>
      </c>
      <c r="C164" s="359" t="s">
        <v>54</v>
      </c>
      <c r="D164" s="360" t="s">
        <v>1259</v>
      </c>
      <c r="E164" s="361" t="s">
        <v>1260</v>
      </c>
      <c r="F164" s="394" t="s">
        <v>1199</v>
      </c>
      <c r="G164" s="363" t="s">
        <v>1261</v>
      </c>
      <c r="H164" s="364">
        <v>218641</v>
      </c>
      <c r="I164" s="307">
        <f t="shared" si="28"/>
        <v>61</v>
      </c>
      <c r="J164" s="306">
        <f t="shared" si="29"/>
        <v>1</v>
      </c>
      <c r="K164" s="306">
        <f t="shared" si="30"/>
        <v>18</v>
      </c>
      <c r="L164" s="306" t="str">
        <f t="shared" si="31"/>
        <v>61 ปี  1 เดือน  18 วัน</v>
      </c>
      <c r="M164" s="365">
        <f t="shared" si="32"/>
        <v>600</v>
      </c>
      <c r="N164" s="365"/>
      <c r="O164" s="403" t="s">
        <v>1202</v>
      </c>
      <c r="P164" s="80"/>
      <c r="Q164" s="119"/>
      <c r="R164" s="119"/>
      <c r="S164" s="119"/>
      <c r="T164" s="119"/>
      <c r="U164" s="119"/>
      <c r="V164" s="119"/>
      <c r="W164" s="119"/>
      <c r="X164" s="80"/>
    </row>
    <row r="165" spans="1:24" s="57" customFormat="1" ht="21">
      <c r="A165" s="446">
        <v>158</v>
      </c>
      <c r="B165" s="358" t="s">
        <v>31</v>
      </c>
      <c r="C165" s="359" t="s">
        <v>1262</v>
      </c>
      <c r="D165" s="360" t="s">
        <v>391</v>
      </c>
      <c r="E165" s="361" t="s">
        <v>392</v>
      </c>
      <c r="F165" s="394" t="s">
        <v>1199</v>
      </c>
      <c r="G165" s="363" t="s">
        <v>1263</v>
      </c>
      <c r="H165" s="364">
        <v>218432</v>
      </c>
      <c r="I165" s="307">
        <f t="shared" si="28"/>
        <v>61</v>
      </c>
      <c r="J165" s="306">
        <f t="shared" si="29"/>
        <v>8</v>
      </c>
      <c r="K165" s="306">
        <f t="shared" si="30"/>
        <v>15</v>
      </c>
      <c r="L165" s="306" t="str">
        <f t="shared" si="31"/>
        <v>61 ปี  8 เดือน  15 วัน</v>
      </c>
      <c r="M165" s="365">
        <f t="shared" si="32"/>
        <v>600</v>
      </c>
      <c r="N165" s="365"/>
      <c r="O165" s="403" t="s">
        <v>1202</v>
      </c>
      <c r="P165" s="80"/>
      <c r="Q165" s="119"/>
      <c r="R165" s="119"/>
      <c r="S165" s="119"/>
      <c r="T165" s="119"/>
      <c r="U165" s="119"/>
      <c r="V165" s="119"/>
      <c r="W165" s="119"/>
      <c r="X165" s="80"/>
    </row>
    <row r="166" spans="1:24" s="57" customFormat="1" ht="21">
      <c r="A166" s="446">
        <v>159</v>
      </c>
      <c r="B166" s="358" t="s">
        <v>30</v>
      </c>
      <c r="C166" s="359" t="s">
        <v>1264</v>
      </c>
      <c r="D166" s="360" t="s">
        <v>1265</v>
      </c>
      <c r="E166" s="361" t="s">
        <v>1266</v>
      </c>
      <c r="F166" s="394" t="s">
        <v>1199</v>
      </c>
      <c r="G166" s="363" t="s">
        <v>1267</v>
      </c>
      <c r="H166" s="364">
        <v>218591</v>
      </c>
      <c r="I166" s="307">
        <f t="shared" si="28"/>
        <v>61</v>
      </c>
      <c r="J166" s="306">
        <f t="shared" si="29"/>
        <v>3</v>
      </c>
      <c r="K166" s="306">
        <f t="shared" si="30"/>
        <v>7</v>
      </c>
      <c r="L166" s="306" t="str">
        <f t="shared" si="31"/>
        <v>61 ปี  3 เดือน  7 วัน</v>
      </c>
      <c r="M166" s="365">
        <f t="shared" si="32"/>
        <v>600</v>
      </c>
      <c r="N166" s="365"/>
      <c r="O166" s="403" t="s">
        <v>1202</v>
      </c>
      <c r="P166" s="80"/>
      <c r="Q166" s="119"/>
      <c r="R166" s="119"/>
      <c r="S166" s="119"/>
      <c r="T166" s="119"/>
      <c r="U166" s="119"/>
      <c r="V166" s="119"/>
      <c r="W166" s="119"/>
      <c r="X166" s="80"/>
    </row>
    <row r="167" spans="1:24" s="57" customFormat="1" ht="21">
      <c r="A167" s="446">
        <v>160</v>
      </c>
      <c r="B167" s="358" t="s">
        <v>30</v>
      </c>
      <c r="C167" s="359" t="s">
        <v>1268</v>
      </c>
      <c r="D167" s="360" t="s">
        <v>1269</v>
      </c>
      <c r="E167" s="361" t="s">
        <v>1270</v>
      </c>
      <c r="F167" s="394" t="s">
        <v>1199</v>
      </c>
      <c r="G167" s="363" t="s">
        <v>1271</v>
      </c>
      <c r="H167" s="364">
        <v>218531</v>
      </c>
      <c r="I167" s="307">
        <f t="shared" si="28"/>
        <v>61</v>
      </c>
      <c r="J167" s="306">
        <f t="shared" si="29"/>
        <v>5</v>
      </c>
      <c r="K167" s="306">
        <f t="shared" si="30"/>
        <v>6</v>
      </c>
      <c r="L167" s="306" t="str">
        <f t="shared" si="31"/>
        <v>61 ปี  5 เดือน  6 วัน</v>
      </c>
      <c r="M167" s="365">
        <f t="shared" si="32"/>
        <v>600</v>
      </c>
      <c r="N167" s="365"/>
      <c r="O167" s="403" t="s">
        <v>1202</v>
      </c>
      <c r="P167" s="80"/>
      <c r="Q167" s="119"/>
      <c r="R167" s="119"/>
      <c r="S167" s="119"/>
      <c r="T167" s="119"/>
      <c r="U167" s="119"/>
      <c r="V167" s="119"/>
      <c r="W167" s="119"/>
      <c r="X167" s="80"/>
    </row>
    <row r="168" spans="1:24" s="57" customFormat="1" ht="21">
      <c r="A168" s="446">
        <v>161</v>
      </c>
      <c r="B168" s="358" t="s">
        <v>31</v>
      </c>
      <c r="C168" s="359" t="s">
        <v>1272</v>
      </c>
      <c r="D168" s="360" t="s">
        <v>237</v>
      </c>
      <c r="E168" s="361" t="s">
        <v>1273</v>
      </c>
      <c r="F168" s="394" t="s">
        <v>1199</v>
      </c>
      <c r="G168" s="363" t="s">
        <v>1274</v>
      </c>
      <c r="H168" s="364">
        <v>218418</v>
      </c>
      <c r="I168" s="307">
        <f t="shared" si="28"/>
        <v>61</v>
      </c>
      <c r="J168" s="306">
        <f t="shared" si="29"/>
        <v>8</v>
      </c>
      <c r="K168" s="306">
        <f t="shared" si="30"/>
        <v>29</v>
      </c>
      <c r="L168" s="306" t="str">
        <f t="shared" si="31"/>
        <v>61 ปี  8 เดือน  29 วัน</v>
      </c>
      <c r="M168" s="365">
        <f t="shared" si="32"/>
        <v>600</v>
      </c>
      <c r="N168" s="365"/>
      <c r="O168" s="403" t="s">
        <v>1202</v>
      </c>
      <c r="P168" s="80"/>
      <c r="Q168" s="119"/>
      <c r="R168" s="119"/>
      <c r="S168" s="119"/>
      <c r="T168" s="119"/>
      <c r="U168" s="119"/>
      <c r="V168" s="119"/>
      <c r="W168" s="119"/>
      <c r="X168" s="80"/>
    </row>
    <row r="169" spans="1:24" s="57" customFormat="1" ht="21">
      <c r="A169" s="446">
        <v>162</v>
      </c>
      <c r="B169" s="358" t="s">
        <v>30</v>
      </c>
      <c r="C169" s="359" t="s">
        <v>1275</v>
      </c>
      <c r="D169" s="360" t="s">
        <v>1276</v>
      </c>
      <c r="E169" s="361" t="s">
        <v>1277</v>
      </c>
      <c r="F169" s="394" t="s">
        <v>1199</v>
      </c>
      <c r="G169" s="363" t="s">
        <v>1278</v>
      </c>
      <c r="H169" s="364">
        <v>218676</v>
      </c>
      <c r="I169" s="307">
        <f t="shared" si="28"/>
        <v>61</v>
      </c>
      <c r="J169" s="306">
        <f t="shared" si="29"/>
        <v>0</v>
      </c>
      <c r="K169" s="306">
        <f t="shared" si="30"/>
        <v>14</v>
      </c>
      <c r="L169" s="306" t="str">
        <f t="shared" si="31"/>
        <v>61 ปี  0 เดือน  14 วัน</v>
      </c>
      <c r="M169" s="365">
        <f t="shared" si="32"/>
        <v>600</v>
      </c>
      <c r="N169" s="365"/>
      <c r="O169" s="403" t="s">
        <v>1202</v>
      </c>
      <c r="P169" s="80"/>
      <c r="Q169" s="119"/>
      <c r="R169" s="119"/>
      <c r="S169" s="119"/>
      <c r="T169" s="119"/>
      <c r="U169" s="119"/>
      <c r="V169" s="119"/>
      <c r="W169" s="119"/>
      <c r="X169" s="80"/>
    </row>
    <row r="170" spans="1:24" s="57" customFormat="1" ht="21">
      <c r="A170" s="446">
        <v>163</v>
      </c>
      <c r="B170" s="358" t="s">
        <v>31</v>
      </c>
      <c r="C170" s="359" t="s">
        <v>36</v>
      </c>
      <c r="D170" s="360" t="s">
        <v>1279</v>
      </c>
      <c r="E170" s="361" t="s">
        <v>1280</v>
      </c>
      <c r="F170" s="394" t="s">
        <v>1199</v>
      </c>
      <c r="G170" s="363" t="s">
        <v>1281</v>
      </c>
      <c r="H170" s="364">
        <v>218389</v>
      </c>
      <c r="I170" s="307">
        <f t="shared" si="28"/>
        <v>61</v>
      </c>
      <c r="J170" s="306">
        <f t="shared" si="29"/>
        <v>9</v>
      </c>
      <c r="K170" s="306">
        <f t="shared" si="30"/>
        <v>27</v>
      </c>
      <c r="L170" s="306" t="str">
        <f t="shared" si="31"/>
        <v>61 ปี  9 เดือน  27 วัน</v>
      </c>
      <c r="M170" s="365">
        <f t="shared" si="32"/>
        <v>600</v>
      </c>
      <c r="N170" s="365"/>
      <c r="O170" s="403" t="s">
        <v>1202</v>
      </c>
      <c r="P170" s="80"/>
      <c r="Q170" s="119"/>
      <c r="R170" s="119"/>
      <c r="S170" s="119"/>
      <c r="T170" s="119"/>
      <c r="U170" s="119"/>
      <c r="V170" s="119"/>
      <c r="W170" s="119"/>
      <c r="X170" s="80"/>
    </row>
    <row r="171" spans="1:24" s="57" customFormat="1" ht="21">
      <c r="A171" s="446">
        <v>164</v>
      </c>
      <c r="B171" s="358" t="s">
        <v>32</v>
      </c>
      <c r="C171" s="359" t="s">
        <v>1282</v>
      </c>
      <c r="D171" s="360" t="s">
        <v>1283</v>
      </c>
      <c r="E171" s="361" t="s">
        <v>1284</v>
      </c>
      <c r="F171" s="394" t="s">
        <v>1199</v>
      </c>
      <c r="G171" s="363" t="s">
        <v>1285</v>
      </c>
      <c r="H171" s="364">
        <v>217687</v>
      </c>
      <c r="I171" s="307">
        <f t="shared" si="28"/>
        <v>63</v>
      </c>
      <c r="J171" s="306">
        <f t="shared" si="29"/>
        <v>8</v>
      </c>
      <c r="K171" s="306">
        <f t="shared" si="30"/>
        <v>29</v>
      </c>
      <c r="L171" s="306" t="str">
        <f t="shared" si="31"/>
        <v>63 ปี  8 เดือน  29 วัน</v>
      </c>
      <c r="M171" s="365">
        <f t="shared" si="32"/>
        <v>600</v>
      </c>
      <c r="N171" s="365"/>
      <c r="O171" s="403" t="s">
        <v>1202</v>
      </c>
      <c r="P171" s="80"/>
      <c r="Q171" s="119"/>
      <c r="R171" s="119"/>
      <c r="S171" s="119"/>
      <c r="T171" s="119"/>
      <c r="U171" s="119"/>
      <c r="V171" s="119"/>
      <c r="W171" s="119"/>
      <c r="X171" s="80"/>
    </row>
    <row r="172" spans="1:24" s="57" customFormat="1" ht="21">
      <c r="A172" s="446">
        <v>165</v>
      </c>
      <c r="B172" s="358" t="s">
        <v>30</v>
      </c>
      <c r="C172" s="359" t="s">
        <v>473</v>
      </c>
      <c r="D172" s="360" t="s">
        <v>791</v>
      </c>
      <c r="E172" s="361" t="s">
        <v>782</v>
      </c>
      <c r="F172" s="394" t="s">
        <v>1199</v>
      </c>
      <c r="G172" s="363" t="s">
        <v>1286</v>
      </c>
      <c r="H172" s="364">
        <v>218429</v>
      </c>
      <c r="I172" s="307">
        <f t="shared" si="28"/>
        <v>61</v>
      </c>
      <c r="J172" s="306">
        <f t="shared" si="29"/>
        <v>8</v>
      </c>
      <c r="K172" s="306">
        <f t="shared" si="30"/>
        <v>18</v>
      </c>
      <c r="L172" s="306" t="str">
        <f t="shared" si="31"/>
        <v>61 ปี  8 เดือน  18 วัน</v>
      </c>
      <c r="M172" s="365">
        <f t="shared" si="32"/>
        <v>600</v>
      </c>
      <c r="N172" s="365"/>
      <c r="O172" s="403" t="s">
        <v>1202</v>
      </c>
      <c r="P172" s="80"/>
      <c r="Q172" s="119" t="s">
        <v>1198</v>
      </c>
      <c r="R172" s="119"/>
      <c r="S172" s="119"/>
      <c r="T172" s="119"/>
      <c r="U172" s="119"/>
      <c r="V172" s="119"/>
      <c r="W172" s="119"/>
      <c r="X172" s="80"/>
    </row>
    <row r="173" spans="1:24" s="57" customFormat="1" ht="21">
      <c r="A173" s="446">
        <v>166</v>
      </c>
      <c r="B173" s="358" t="s">
        <v>30</v>
      </c>
      <c r="C173" s="359" t="s">
        <v>218</v>
      </c>
      <c r="D173" s="360" t="s">
        <v>1287</v>
      </c>
      <c r="E173" s="361" t="s">
        <v>1288</v>
      </c>
      <c r="F173" s="394" t="s">
        <v>1199</v>
      </c>
      <c r="G173" s="363" t="s">
        <v>1289</v>
      </c>
      <c r="H173" s="364">
        <v>218665</v>
      </c>
      <c r="I173" s="307">
        <f t="shared" si="28"/>
        <v>61</v>
      </c>
      <c r="J173" s="306">
        <f t="shared" si="29"/>
        <v>0</v>
      </c>
      <c r="K173" s="306">
        <f t="shared" si="30"/>
        <v>25</v>
      </c>
      <c r="L173" s="306" t="str">
        <f t="shared" si="31"/>
        <v>61 ปี  0 เดือน  25 วัน</v>
      </c>
      <c r="M173" s="365">
        <f t="shared" si="32"/>
        <v>600</v>
      </c>
      <c r="N173" s="365"/>
      <c r="O173" s="403" t="s">
        <v>1202</v>
      </c>
      <c r="P173" s="80"/>
      <c r="Q173" s="119"/>
      <c r="R173" s="119"/>
      <c r="S173" s="119"/>
      <c r="T173" s="119"/>
      <c r="U173" s="119"/>
      <c r="V173" s="119"/>
      <c r="W173" s="119"/>
      <c r="X173" s="80"/>
    </row>
    <row r="174" spans="1:24" s="57" customFormat="1" ht="21">
      <c r="A174" s="446">
        <v>167</v>
      </c>
      <c r="B174" s="358" t="s">
        <v>31</v>
      </c>
      <c r="C174" s="359" t="s">
        <v>212</v>
      </c>
      <c r="D174" s="360" t="s">
        <v>407</v>
      </c>
      <c r="E174" s="361" t="s">
        <v>428</v>
      </c>
      <c r="F174" s="394" t="s">
        <v>1199</v>
      </c>
      <c r="G174" s="363" t="s">
        <v>1290</v>
      </c>
      <c r="H174" s="364">
        <v>218363</v>
      </c>
      <c r="I174" s="307">
        <f t="shared" si="28"/>
        <v>61</v>
      </c>
      <c r="J174" s="306">
        <f t="shared" si="29"/>
        <v>10</v>
      </c>
      <c r="K174" s="306">
        <f t="shared" si="30"/>
        <v>23</v>
      </c>
      <c r="L174" s="306" t="str">
        <f t="shared" si="31"/>
        <v>61 ปี  10 เดือน  23 วัน</v>
      </c>
      <c r="M174" s="365">
        <f t="shared" si="32"/>
        <v>600</v>
      </c>
      <c r="N174" s="365"/>
      <c r="O174" s="403" t="s">
        <v>1202</v>
      </c>
      <c r="P174" s="80"/>
      <c r="Q174" s="119"/>
      <c r="R174" s="119"/>
      <c r="S174" s="119"/>
      <c r="T174" s="119"/>
      <c r="U174" s="119"/>
      <c r="V174" s="119"/>
      <c r="W174" s="119"/>
      <c r="X174" s="80"/>
    </row>
    <row r="175" spans="1:24" s="57" customFormat="1" ht="21">
      <c r="A175" s="446">
        <v>168</v>
      </c>
      <c r="B175" s="358" t="s">
        <v>31</v>
      </c>
      <c r="C175" s="359" t="s">
        <v>1291</v>
      </c>
      <c r="D175" s="360" t="s">
        <v>502</v>
      </c>
      <c r="E175" s="361" t="s">
        <v>503</v>
      </c>
      <c r="F175" s="394" t="s">
        <v>1199</v>
      </c>
      <c r="G175" s="363" t="s">
        <v>1292</v>
      </c>
      <c r="H175" s="364">
        <v>218512</v>
      </c>
      <c r="I175" s="307">
        <f t="shared" si="28"/>
        <v>61</v>
      </c>
      <c r="J175" s="306">
        <f t="shared" si="29"/>
        <v>5</v>
      </c>
      <c r="K175" s="306">
        <f t="shared" si="30"/>
        <v>25</v>
      </c>
      <c r="L175" s="306" t="str">
        <f t="shared" si="31"/>
        <v>61 ปี  5 เดือน  25 วัน</v>
      </c>
      <c r="M175" s="365">
        <f t="shared" si="32"/>
        <v>600</v>
      </c>
      <c r="N175" s="365"/>
      <c r="O175" s="403" t="s">
        <v>1202</v>
      </c>
      <c r="P175" s="80"/>
      <c r="Q175" s="119"/>
      <c r="R175" s="119"/>
      <c r="S175" s="119"/>
      <c r="T175" s="119"/>
      <c r="U175" s="119"/>
      <c r="V175" s="119"/>
      <c r="W175" s="119"/>
      <c r="X175" s="80"/>
    </row>
    <row r="176" spans="1:24" s="57" customFormat="1" ht="21">
      <c r="A176" s="446">
        <v>169</v>
      </c>
      <c r="B176" s="358" t="s">
        <v>32</v>
      </c>
      <c r="C176" s="359" t="s">
        <v>1293</v>
      </c>
      <c r="D176" s="360" t="s">
        <v>1294</v>
      </c>
      <c r="E176" s="361" t="s">
        <v>1295</v>
      </c>
      <c r="F176" s="394" t="s">
        <v>1199</v>
      </c>
      <c r="G176" s="363" t="s">
        <v>1296</v>
      </c>
      <c r="H176" s="364">
        <v>218489</v>
      </c>
      <c r="I176" s="307">
        <f t="shared" si="28"/>
        <v>61</v>
      </c>
      <c r="J176" s="306">
        <f t="shared" si="29"/>
        <v>6</v>
      </c>
      <c r="K176" s="306">
        <f t="shared" si="30"/>
        <v>17</v>
      </c>
      <c r="L176" s="306" t="str">
        <f t="shared" si="31"/>
        <v>61 ปี  6 เดือน  17 วัน</v>
      </c>
      <c r="M176" s="365">
        <f t="shared" si="32"/>
        <v>600</v>
      </c>
      <c r="N176" s="365"/>
      <c r="O176" s="403" t="s">
        <v>1202</v>
      </c>
      <c r="P176" s="80"/>
      <c r="Q176" s="119"/>
      <c r="R176" s="119"/>
      <c r="S176" s="119"/>
      <c r="T176" s="119"/>
      <c r="U176" s="119"/>
      <c r="V176" s="119"/>
      <c r="W176" s="119"/>
      <c r="X176" s="80"/>
    </row>
    <row r="177" spans="1:24" s="57" customFormat="1" ht="21">
      <c r="A177" s="446">
        <v>170</v>
      </c>
      <c r="B177" s="358" t="s">
        <v>32</v>
      </c>
      <c r="C177" s="359" t="s">
        <v>587</v>
      </c>
      <c r="D177" s="360" t="s">
        <v>1297</v>
      </c>
      <c r="E177" s="361" t="s">
        <v>190</v>
      </c>
      <c r="F177" s="394" t="s">
        <v>1199</v>
      </c>
      <c r="G177" s="363" t="s">
        <v>1298</v>
      </c>
      <c r="H177" s="364">
        <v>218477</v>
      </c>
      <c r="I177" s="307">
        <f t="shared" si="28"/>
        <v>61</v>
      </c>
      <c r="J177" s="306">
        <f t="shared" si="29"/>
        <v>6</v>
      </c>
      <c r="K177" s="306">
        <f t="shared" si="30"/>
        <v>29</v>
      </c>
      <c r="L177" s="306" t="str">
        <f t="shared" si="31"/>
        <v>61 ปี  6 เดือน  29 วัน</v>
      </c>
      <c r="M177" s="365">
        <f t="shared" si="32"/>
        <v>600</v>
      </c>
      <c r="N177" s="365"/>
      <c r="O177" s="403" t="s">
        <v>1202</v>
      </c>
      <c r="P177" s="80"/>
      <c r="Q177" s="119"/>
      <c r="R177" s="119"/>
      <c r="S177" s="119"/>
      <c r="T177" s="119"/>
      <c r="U177" s="119"/>
      <c r="V177" s="119"/>
      <c r="W177" s="119"/>
      <c r="X177" s="80"/>
    </row>
    <row r="178" spans="1:24" s="57" customFormat="1" ht="21">
      <c r="A178" s="446">
        <v>171</v>
      </c>
      <c r="B178" s="358" t="s">
        <v>31</v>
      </c>
      <c r="C178" s="359" t="s">
        <v>48</v>
      </c>
      <c r="D178" s="360" t="s">
        <v>348</v>
      </c>
      <c r="E178" s="361" t="s">
        <v>372</v>
      </c>
      <c r="F178" s="394" t="s">
        <v>1199</v>
      </c>
      <c r="G178" s="363" t="s">
        <v>1299</v>
      </c>
      <c r="H178" s="364">
        <v>218492</v>
      </c>
      <c r="I178" s="307">
        <f t="shared" si="28"/>
        <v>61</v>
      </c>
      <c r="J178" s="306">
        <f t="shared" si="29"/>
        <v>6</v>
      </c>
      <c r="K178" s="306">
        <f t="shared" si="30"/>
        <v>14</v>
      </c>
      <c r="L178" s="306" t="str">
        <f t="shared" si="31"/>
        <v>61 ปี  6 เดือน  14 วัน</v>
      </c>
      <c r="M178" s="365">
        <f t="shared" si="32"/>
        <v>600</v>
      </c>
      <c r="N178" s="365"/>
      <c r="O178" s="403" t="s">
        <v>1202</v>
      </c>
      <c r="P178" s="80"/>
      <c r="Q178" s="119"/>
      <c r="R178" s="119"/>
      <c r="S178" s="119"/>
      <c r="T178" s="119"/>
      <c r="U178" s="119"/>
      <c r="V178" s="119"/>
      <c r="W178" s="119"/>
      <c r="X178" s="80"/>
    </row>
    <row r="179" spans="1:24" s="57" customFormat="1" ht="21">
      <c r="A179" s="446">
        <v>172</v>
      </c>
      <c r="B179" s="358" t="s">
        <v>31</v>
      </c>
      <c r="C179" s="359" t="s">
        <v>1395</v>
      </c>
      <c r="D179" s="360" t="s">
        <v>1396</v>
      </c>
      <c r="E179" s="361" t="s">
        <v>1397</v>
      </c>
      <c r="F179" s="394" t="s">
        <v>1199</v>
      </c>
      <c r="G179" s="363">
        <v>3320400491119</v>
      </c>
      <c r="H179" s="364">
        <v>218783</v>
      </c>
      <c r="I179" s="307">
        <f t="shared" si="28"/>
        <v>60</v>
      </c>
      <c r="J179" s="306">
        <f t="shared" si="29"/>
        <v>8</v>
      </c>
      <c r="K179" s="306">
        <f t="shared" si="30"/>
        <v>29</v>
      </c>
      <c r="L179" s="306" t="str">
        <f t="shared" si="31"/>
        <v>60 ปี  8 เดือน  29 วัน</v>
      </c>
      <c r="M179" s="308">
        <f t="shared" si="32"/>
        <v>600</v>
      </c>
      <c r="N179" s="308"/>
      <c r="O179" s="404" t="s">
        <v>1398</v>
      </c>
      <c r="P179" s="80"/>
      <c r="Q179" s="119"/>
      <c r="R179" s="119"/>
      <c r="S179" s="119"/>
      <c r="T179" s="119"/>
      <c r="U179" s="119"/>
      <c r="V179" s="119"/>
      <c r="W179" s="119"/>
      <c r="X179" s="80"/>
    </row>
    <row r="180" spans="1:24" s="57" customFormat="1" ht="21">
      <c r="A180" s="446">
        <v>173</v>
      </c>
      <c r="B180" s="358" t="s">
        <v>31</v>
      </c>
      <c r="C180" s="359" t="s">
        <v>840</v>
      </c>
      <c r="D180" s="360" t="s">
        <v>1373</v>
      </c>
      <c r="E180" s="361" t="s">
        <v>1374</v>
      </c>
      <c r="F180" s="394" t="s">
        <v>1199</v>
      </c>
      <c r="G180" s="363">
        <v>3260200196386</v>
      </c>
      <c r="H180" s="364">
        <v>218961</v>
      </c>
      <c r="I180" s="307">
        <f t="shared" si="28"/>
        <v>60</v>
      </c>
      <c r="J180" s="306">
        <f t="shared" si="29"/>
        <v>3</v>
      </c>
      <c r="K180" s="306">
        <f t="shared" si="30"/>
        <v>2</v>
      </c>
      <c r="L180" s="306" t="str">
        <f t="shared" si="31"/>
        <v>60 ปี  3 เดือน  2 วัน</v>
      </c>
      <c r="M180" s="308">
        <f t="shared" si="32"/>
        <v>600</v>
      </c>
      <c r="N180" s="308"/>
      <c r="O180" s="404" t="s">
        <v>1398</v>
      </c>
      <c r="P180" s="80"/>
      <c r="Q180" s="119"/>
      <c r="R180" s="119"/>
      <c r="S180" s="119"/>
      <c r="T180" s="119"/>
      <c r="U180" s="119"/>
      <c r="V180" s="119"/>
      <c r="W180" s="119"/>
      <c r="X180" s="80"/>
    </row>
    <row r="181" spans="1:24" s="57" customFormat="1" ht="21">
      <c r="A181" s="446">
        <v>174</v>
      </c>
      <c r="B181" s="358" t="s">
        <v>30</v>
      </c>
      <c r="C181" s="359" t="s">
        <v>1399</v>
      </c>
      <c r="D181" s="360" t="s">
        <v>572</v>
      </c>
      <c r="E181" s="361" t="s">
        <v>573</v>
      </c>
      <c r="F181" s="394" t="s">
        <v>1199</v>
      </c>
      <c r="G181" s="363">
        <v>3679800033415</v>
      </c>
      <c r="H181" s="364">
        <v>218943</v>
      </c>
      <c r="I181" s="307">
        <f t="shared" si="28"/>
        <v>60</v>
      </c>
      <c r="J181" s="306">
        <f t="shared" si="29"/>
        <v>3</v>
      </c>
      <c r="K181" s="306">
        <f t="shared" si="30"/>
        <v>20</v>
      </c>
      <c r="L181" s="306" t="str">
        <f t="shared" si="31"/>
        <v>60 ปี  3 เดือน  20 วัน</v>
      </c>
      <c r="M181" s="308">
        <f t="shared" si="32"/>
        <v>600</v>
      </c>
      <c r="N181" s="308"/>
      <c r="O181" s="404" t="s">
        <v>1398</v>
      </c>
      <c r="P181" s="80"/>
      <c r="Q181" s="119"/>
      <c r="R181" s="119"/>
      <c r="S181" s="119"/>
      <c r="T181" s="119"/>
      <c r="U181" s="119"/>
      <c r="V181" s="119"/>
      <c r="W181" s="119"/>
      <c r="X181" s="80"/>
    </row>
    <row r="182" spans="1:24" s="57" customFormat="1" ht="21">
      <c r="A182" s="446">
        <v>175</v>
      </c>
      <c r="B182" s="358" t="s">
        <v>31</v>
      </c>
      <c r="C182" s="359" t="s">
        <v>608</v>
      </c>
      <c r="D182" s="360" t="s">
        <v>1400</v>
      </c>
      <c r="E182" s="361" t="s">
        <v>1401</v>
      </c>
      <c r="F182" s="394" t="s">
        <v>1199</v>
      </c>
      <c r="G182" s="363">
        <v>3200600250566</v>
      </c>
      <c r="H182" s="364">
        <v>218979</v>
      </c>
      <c r="I182" s="307">
        <f t="shared" si="28"/>
        <v>60</v>
      </c>
      <c r="J182" s="306">
        <f t="shared" si="29"/>
        <v>2</v>
      </c>
      <c r="K182" s="306">
        <f t="shared" si="30"/>
        <v>14</v>
      </c>
      <c r="L182" s="306" t="str">
        <f t="shared" si="31"/>
        <v>60 ปี  2 เดือน  14 วัน</v>
      </c>
      <c r="M182" s="308">
        <f t="shared" si="32"/>
        <v>600</v>
      </c>
      <c r="N182" s="308"/>
      <c r="O182" s="404" t="s">
        <v>1398</v>
      </c>
      <c r="P182" s="80"/>
      <c r="Q182" s="119"/>
      <c r="R182" s="119"/>
      <c r="S182" s="119"/>
      <c r="T182" s="119"/>
      <c r="U182" s="119"/>
      <c r="V182" s="119"/>
      <c r="W182" s="119"/>
      <c r="X182" s="80"/>
    </row>
    <row r="183" spans="1:24" s="57" customFormat="1" ht="21">
      <c r="A183" s="446">
        <v>176</v>
      </c>
      <c r="B183" s="358" t="s">
        <v>31</v>
      </c>
      <c r="C183" s="359" t="s">
        <v>861</v>
      </c>
      <c r="D183" s="360" t="s">
        <v>1402</v>
      </c>
      <c r="E183" s="361" t="s">
        <v>1403</v>
      </c>
      <c r="F183" s="394" t="s">
        <v>1199</v>
      </c>
      <c r="G183" s="363">
        <v>3250200098457</v>
      </c>
      <c r="H183" s="364">
        <v>218787</v>
      </c>
      <c r="I183" s="307">
        <f t="shared" si="28"/>
        <v>60</v>
      </c>
      <c r="J183" s="306">
        <f t="shared" si="29"/>
        <v>8</v>
      </c>
      <c r="K183" s="306">
        <f t="shared" si="30"/>
        <v>25</v>
      </c>
      <c r="L183" s="306" t="str">
        <f t="shared" si="31"/>
        <v>60 ปี  8 เดือน  25 วัน</v>
      </c>
      <c r="M183" s="308">
        <f t="shared" si="32"/>
        <v>600</v>
      </c>
      <c r="N183" s="308"/>
      <c r="O183" s="404" t="s">
        <v>1398</v>
      </c>
      <c r="P183" s="80"/>
      <c r="Q183" s="119"/>
      <c r="R183" s="119"/>
      <c r="S183" s="119"/>
      <c r="T183" s="119"/>
      <c r="U183" s="119"/>
      <c r="V183" s="119"/>
      <c r="W183" s="119"/>
      <c r="X183" s="80"/>
    </row>
    <row r="184" spans="1:24" s="57" customFormat="1" ht="21">
      <c r="A184" s="446">
        <v>177</v>
      </c>
      <c r="B184" s="358" t="s">
        <v>32</v>
      </c>
      <c r="C184" s="359" t="s">
        <v>843</v>
      </c>
      <c r="D184" s="360" t="s">
        <v>1404</v>
      </c>
      <c r="E184" s="361" t="s">
        <v>1405</v>
      </c>
      <c r="F184" s="394" t="s">
        <v>1199</v>
      </c>
      <c r="G184" s="363">
        <v>3101502059952</v>
      </c>
      <c r="H184" s="364">
        <v>219002</v>
      </c>
      <c r="I184" s="307">
        <f t="shared" si="28"/>
        <v>60</v>
      </c>
      <c r="J184" s="306">
        <f t="shared" si="29"/>
        <v>1</v>
      </c>
      <c r="K184" s="306">
        <f t="shared" si="30"/>
        <v>22</v>
      </c>
      <c r="L184" s="306" t="str">
        <f t="shared" si="31"/>
        <v>60 ปี  1 เดือน  22 วัน</v>
      </c>
      <c r="M184" s="308">
        <f t="shared" si="32"/>
        <v>600</v>
      </c>
      <c r="N184" s="308"/>
      <c r="O184" s="404" t="s">
        <v>1398</v>
      </c>
      <c r="P184" s="80"/>
      <c r="Q184" s="119"/>
      <c r="R184" s="119"/>
      <c r="S184" s="119"/>
      <c r="T184" s="119"/>
      <c r="U184" s="119"/>
      <c r="V184" s="119"/>
      <c r="W184" s="119"/>
      <c r="X184" s="80"/>
    </row>
    <row r="185" spans="1:24" s="57" customFormat="1" ht="21">
      <c r="A185" s="446">
        <v>178</v>
      </c>
      <c r="B185" s="358" t="s">
        <v>30</v>
      </c>
      <c r="C185" s="359" t="s">
        <v>1524</v>
      </c>
      <c r="D185" s="360" t="s">
        <v>1406</v>
      </c>
      <c r="E185" s="361" t="s">
        <v>1407</v>
      </c>
      <c r="F185" s="394" t="s">
        <v>1199</v>
      </c>
      <c r="G185" s="363">
        <v>3360500277437</v>
      </c>
      <c r="H185" s="364">
        <v>218995</v>
      </c>
      <c r="I185" s="307">
        <f t="shared" si="28"/>
        <v>60</v>
      </c>
      <c r="J185" s="306">
        <f t="shared" si="29"/>
        <v>1</v>
      </c>
      <c r="K185" s="306">
        <f t="shared" si="30"/>
        <v>29</v>
      </c>
      <c r="L185" s="306" t="str">
        <f t="shared" si="31"/>
        <v>60 ปี  1 เดือน  29 วัน</v>
      </c>
      <c r="M185" s="308">
        <f t="shared" si="32"/>
        <v>600</v>
      </c>
      <c r="N185" s="308"/>
      <c r="O185" s="404" t="s">
        <v>1398</v>
      </c>
      <c r="P185" s="80"/>
      <c r="Q185" s="119"/>
      <c r="R185" s="119"/>
      <c r="S185" s="119"/>
      <c r="T185" s="119"/>
      <c r="U185" s="119"/>
      <c r="V185" s="119"/>
      <c r="W185" s="119"/>
      <c r="X185" s="80"/>
    </row>
    <row r="186" spans="1:24" s="57" customFormat="1" ht="21">
      <c r="A186" s="446">
        <v>179</v>
      </c>
      <c r="B186" s="358" t="s">
        <v>30</v>
      </c>
      <c r="C186" s="359" t="s">
        <v>1408</v>
      </c>
      <c r="D186" s="360" t="s">
        <v>1409</v>
      </c>
      <c r="E186" s="361" t="s">
        <v>1410</v>
      </c>
      <c r="F186" s="394" t="s">
        <v>1199</v>
      </c>
      <c r="G186" s="363">
        <v>3100200938901</v>
      </c>
      <c r="H186" s="364">
        <v>218786</v>
      </c>
      <c r="I186" s="307">
        <f t="shared" si="28"/>
        <v>60</v>
      </c>
      <c r="J186" s="306">
        <f t="shared" si="29"/>
        <v>8</v>
      </c>
      <c r="K186" s="306">
        <f t="shared" si="30"/>
        <v>26</v>
      </c>
      <c r="L186" s="306" t="str">
        <f t="shared" si="31"/>
        <v>60 ปี  8 เดือน  26 วัน</v>
      </c>
      <c r="M186" s="308">
        <f t="shared" si="32"/>
        <v>600</v>
      </c>
      <c r="N186" s="308"/>
      <c r="O186" s="404" t="s">
        <v>1398</v>
      </c>
      <c r="P186" s="80"/>
      <c r="Q186" s="119"/>
      <c r="R186" s="119"/>
      <c r="S186" s="119"/>
      <c r="T186" s="119"/>
      <c r="U186" s="119"/>
      <c r="V186" s="119"/>
      <c r="W186" s="119"/>
      <c r="X186" s="80"/>
    </row>
    <row r="187" spans="1:24" s="57" customFormat="1" ht="21">
      <c r="A187" s="446">
        <v>180</v>
      </c>
      <c r="B187" s="358" t="s">
        <v>31</v>
      </c>
      <c r="C187" s="359" t="s">
        <v>148</v>
      </c>
      <c r="D187" s="360" t="s">
        <v>320</v>
      </c>
      <c r="E187" s="361" t="s">
        <v>74</v>
      </c>
      <c r="F187" s="394" t="s">
        <v>1199</v>
      </c>
      <c r="G187" s="363">
        <v>3309901517569</v>
      </c>
      <c r="H187" s="364">
        <v>218855</v>
      </c>
      <c r="I187" s="307">
        <f t="shared" si="28"/>
        <v>60</v>
      </c>
      <c r="J187" s="306">
        <f t="shared" si="29"/>
        <v>6</v>
      </c>
      <c r="K187" s="306">
        <f t="shared" si="30"/>
        <v>16</v>
      </c>
      <c r="L187" s="306" t="str">
        <f t="shared" si="31"/>
        <v>60 ปี  6 เดือน  16 วัน</v>
      </c>
      <c r="M187" s="308">
        <f t="shared" si="32"/>
        <v>600</v>
      </c>
      <c r="N187" s="308"/>
      <c r="O187" s="404" t="s">
        <v>1398</v>
      </c>
      <c r="P187" s="80"/>
      <c r="Q187" s="119"/>
      <c r="R187" s="119"/>
      <c r="S187" s="119"/>
      <c r="T187" s="119"/>
      <c r="U187" s="119"/>
      <c r="V187" s="119"/>
      <c r="W187" s="119"/>
      <c r="X187" s="80"/>
    </row>
    <row r="188" spans="1:24" s="57" customFormat="1" ht="21">
      <c r="A188" s="446">
        <v>181</v>
      </c>
      <c r="B188" s="358" t="s">
        <v>30</v>
      </c>
      <c r="C188" s="359" t="s">
        <v>144</v>
      </c>
      <c r="D188" s="360" t="s">
        <v>1249</v>
      </c>
      <c r="E188" s="361" t="s">
        <v>1250</v>
      </c>
      <c r="F188" s="394" t="s">
        <v>1199</v>
      </c>
      <c r="G188" s="363">
        <v>3341300027446</v>
      </c>
      <c r="H188" s="364">
        <v>218977</v>
      </c>
      <c r="I188" s="307">
        <f t="shared" si="28"/>
        <v>60</v>
      </c>
      <c r="J188" s="306">
        <f t="shared" si="29"/>
        <v>2</v>
      </c>
      <c r="K188" s="306">
        <f t="shared" si="30"/>
        <v>16</v>
      </c>
      <c r="L188" s="306" t="str">
        <f t="shared" si="31"/>
        <v>60 ปี  2 เดือน  16 วัน</v>
      </c>
      <c r="M188" s="308">
        <f t="shared" si="32"/>
        <v>600</v>
      </c>
      <c r="N188" s="308"/>
      <c r="O188" s="404" t="s">
        <v>1398</v>
      </c>
      <c r="P188" s="80"/>
      <c r="Q188" s="119"/>
      <c r="R188" s="119"/>
      <c r="S188" s="119"/>
      <c r="T188" s="119"/>
      <c r="U188" s="119"/>
      <c r="V188" s="119"/>
      <c r="W188" s="119"/>
      <c r="X188" s="80"/>
    </row>
    <row r="189" spans="1:24" s="57" customFormat="1" ht="26.25">
      <c r="A189" s="446">
        <v>182</v>
      </c>
      <c r="B189" s="385" t="s">
        <v>30</v>
      </c>
      <c r="C189" s="395" t="s">
        <v>1411</v>
      </c>
      <c r="D189" s="396" t="s">
        <v>1412</v>
      </c>
      <c r="E189" s="388" t="s">
        <v>1413</v>
      </c>
      <c r="F189" s="397" t="s">
        <v>1199</v>
      </c>
      <c r="G189" s="390">
        <v>3100900166006</v>
      </c>
      <c r="H189" s="391">
        <v>218387</v>
      </c>
      <c r="I189" s="306">
        <f t="shared" si="28"/>
        <v>61</v>
      </c>
      <c r="J189" s="306">
        <f t="shared" si="29"/>
        <v>9</v>
      </c>
      <c r="K189" s="306">
        <f t="shared" si="30"/>
        <v>29</v>
      </c>
      <c r="L189" s="306" t="str">
        <f t="shared" si="31"/>
        <v>61 ปี  9 เดือน  29 วัน</v>
      </c>
      <c r="M189" s="405">
        <f t="shared" si="32"/>
        <v>600</v>
      </c>
      <c r="N189" s="405"/>
      <c r="O189" s="406" t="s">
        <v>1398</v>
      </c>
      <c r="P189" s="80"/>
      <c r="Q189" s="480" t="s">
        <v>1532</v>
      </c>
      <c r="R189" s="480"/>
      <c r="S189" s="480"/>
      <c r="T189" s="119"/>
      <c r="U189" s="119"/>
      <c r="V189" s="119"/>
      <c r="W189" s="119"/>
      <c r="X189" s="80"/>
    </row>
    <row r="190" spans="1:24" s="57" customFormat="1" ht="21">
      <c r="A190" s="446">
        <v>183</v>
      </c>
      <c r="B190" s="358" t="s">
        <v>31</v>
      </c>
      <c r="C190" s="359" t="s">
        <v>1414</v>
      </c>
      <c r="D190" s="360" t="s">
        <v>1259</v>
      </c>
      <c r="E190" s="361" t="s">
        <v>1260</v>
      </c>
      <c r="F190" s="394" t="s">
        <v>1199</v>
      </c>
      <c r="G190" s="363">
        <v>3102002223592</v>
      </c>
      <c r="H190" s="364">
        <v>219031</v>
      </c>
      <c r="I190" s="307">
        <f t="shared" si="28"/>
        <v>60</v>
      </c>
      <c r="J190" s="306">
        <f t="shared" si="29"/>
        <v>0</v>
      </c>
      <c r="K190" s="306">
        <f t="shared" si="30"/>
        <v>24</v>
      </c>
      <c r="L190" s="306" t="str">
        <f t="shared" si="31"/>
        <v>60 ปี  0 เดือน  24 วัน</v>
      </c>
      <c r="M190" s="308">
        <f t="shared" si="32"/>
        <v>600</v>
      </c>
      <c r="N190" s="308"/>
      <c r="O190" s="404" t="s">
        <v>1398</v>
      </c>
      <c r="P190" s="80">
        <v>1</v>
      </c>
      <c r="Q190" s="119"/>
      <c r="R190" s="119"/>
      <c r="S190" s="119"/>
      <c r="T190" s="119"/>
      <c r="U190" s="119"/>
      <c r="V190" s="119"/>
      <c r="W190" s="119"/>
      <c r="X190" s="80"/>
    </row>
    <row r="191" spans="1:24" s="57" customFormat="1" ht="21">
      <c r="A191" s="446">
        <v>184</v>
      </c>
      <c r="B191" s="358" t="s">
        <v>30</v>
      </c>
      <c r="C191" s="359" t="s">
        <v>85</v>
      </c>
      <c r="D191" s="360" t="s">
        <v>1415</v>
      </c>
      <c r="E191" s="361" t="s">
        <v>125</v>
      </c>
      <c r="F191" s="394" t="s">
        <v>1199</v>
      </c>
      <c r="G191" s="363">
        <v>3730100545112</v>
      </c>
      <c r="H191" s="364">
        <v>218891</v>
      </c>
      <c r="I191" s="307">
        <f t="shared" si="28"/>
        <v>60</v>
      </c>
      <c r="J191" s="306">
        <f t="shared" si="29"/>
        <v>5</v>
      </c>
      <c r="K191" s="306">
        <f t="shared" si="30"/>
        <v>11</v>
      </c>
      <c r="L191" s="306" t="str">
        <f t="shared" si="31"/>
        <v>60 ปี  5 เดือน  11 วัน</v>
      </c>
      <c r="M191" s="308">
        <f t="shared" si="32"/>
        <v>600</v>
      </c>
      <c r="N191" s="308"/>
      <c r="O191" s="404" t="s">
        <v>1398</v>
      </c>
      <c r="P191" s="80">
        <v>2</v>
      </c>
      <c r="Q191" s="97"/>
      <c r="R191" s="119"/>
      <c r="S191" s="119"/>
      <c r="T191" s="119"/>
      <c r="U191" s="119"/>
      <c r="V191" s="119"/>
      <c r="W191" s="119"/>
      <c r="X191" s="80"/>
    </row>
    <row r="192" spans="1:24" s="57" customFormat="1" ht="21">
      <c r="A192" s="446">
        <v>185</v>
      </c>
      <c r="B192" s="358" t="s">
        <v>30</v>
      </c>
      <c r="C192" s="359" t="s">
        <v>363</v>
      </c>
      <c r="D192" s="360" t="s">
        <v>1416</v>
      </c>
      <c r="E192" s="361" t="s">
        <v>1417</v>
      </c>
      <c r="F192" s="394" t="s">
        <v>1199</v>
      </c>
      <c r="G192" s="363">
        <v>3102200283800</v>
      </c>
      <c r="H192" s="364">
        <v>218971</v>
      </c>
      <c r="I192" s="307">
        <f t="shared" si="28"/>
        <v>60</v>
      </c>
      <c r="J192" s="306">
        <f t="shared" si="29"/>
        <v>2</v>
      </c>
      <c r="K192" s="306">
        <f t="shared" si="30"/>
        <v>22</v>
      </c>
      <c r="L192" s="306" t="str">
        <f t="shared" si="31"/>
        <v>60 ปี  2 เดือน  22 วัน</v>
      </c>
      <c r="M192" s="308">
        <f t="shared" si="32"/>
        <v>600</v>
      </c>
      <c r="N192" s="308"/>
      <c r="O192" s="404" t="s">
        <v>1398</v>
      </c>
      <c r="P192" s="80">
        <v>3</v>
      </c>
      <c r="Q192" s="119"/>
      <c r="R192" s="119"/>
      <c r="S192" s="119"/>
      <c r="T192" s="119"/>
      <c r="U192" s="119"/>
      <c r="V192" s="119"/>
      <c r="W192" s="119"/>
      <c r="X192" s="80"/>
    </row>
    <row r="193" spans="1:24" s="57" customFormat="1" ht="21">
      <c r="A193" s="446">
        <v>186</v>
      </c>
      <c r="B193" s="358" t="s">
        <v>31</v>
      </c>
      <c r="C193" s="359" t="s">
        <v>1418</v>
      </c>
      <c r="D193" s="360" t="s">
        <v>1419</v>
      </c>
      <c r="E193" s="361" t="s">
        <v>1420</v>
      </c>
      <c r="F193" s="394" t="s">
        <v>1199</v>
      </c>
      <c r="G193" s="363">
        <v>3570100223443</v>
      </c>
      <c r="H193" s="364">
        <v>218934</v>
      </c>
      <c r="I193" s="307">
        <f t="shared" si="28"/>
        <v>60</v>
      </c>
      <c r="J193" s="306">
        <f t="shared" si="29"/>
        <v>3</v>
      </c>
      <c r="K193" s="306">
        <f t="shared" si="30"/>
        <v>29</v>
      </c>
      <c r="L193" s="306" t="str">
        <f t="shared" si="31"/>
        <v>60 ปี  3 เดือน  29 วัน</v>
      </c>
      <c r="M193" s="308">
        <f t="shared" si="32"/>
        <v>600</v>
      </c>
      <c r="N193" s="308"/>
      <c r="O193" s="404" t="s">
        <v>1398</v>
      </c>
      <c r="P193" s="80">
        <v>4</v>
      </c>
      <c r="Q193" s="119"/>
      <c r="R193" s="119"/>
      <c r="S193" s="119"/>
      <c r="T193" s="119"/>
      <c r="U193" s="119"/>
      <c r="V193" s="119"/>
      <c r="W193" s="119"/>
      <c r="X193" s="80"/>
    </row>
    <row r="194" spans="1:24" s="57" customFormat="1" ht="21">
      <c r="A194" s="446">
        <v>187</v>
      </c>
      <c r="B194" s="358" t="s">
        <v>31</v>
      </c>
      <c r="C194" s="359" t="s">
        <v>1423</v>
      </c>
      <c r="D194" s="360" t="s">
        <v>1424</v>
      </c>
      <c r="E194" s="361" t="s">
        <v>1425</v>
      </c>
      <c r="F194" s="394" t="s">
        <v>1199</v>
      </c>
      <c r="G194" s="363">
        <v>3101400959318</v>
      </c>
      <c r="H194" s="364">
        <v>216957</v>
      </c>
      <c r="I194" s="307">
        <f t="shared" si="28"/>
        <v>65</v>
      </c>
      <c r="J194" s="306">
        <f t="shared" si="29"/>
        <v>8</v>
      </c>
      <c r="K194" s="306">
        <f t="shared" si="30"/>
        <v>29</v>
      </c>
      <c r="L194" s="306" t="str">
        <f t="shared" si="31"/>
        <v>65 ปี  8 เดือน  29 วัน</v>
      </c>
      <c r="M194" s="308">
        <f t="shared" si="32"/>
        <v>600</v>
      </c>
      <c r="N194" s="308"/>
      <c r="O194" s="404" t="s">
        <v>1398</v>
      </c>
      <c r="P194" s="80">
        <v>5</v>
      </c>
      <c r="Q194" s="119"/>
      <c r="R194" s="119"/>
      <c r="S194" s="119"/>
      <c r="T194" s="119"/>
      <c r="U194" s="119"/>
      <c r="V194" s="119"/>
      <c r="W194" s="119"/>
      <c r="X194" s="80"/>
    </row>
    <row r="195" spans="1:24" s="57" customFormat="1" ht="21">
      <c r="A195" s="446">
        <v>188</v>
      </c>
      <c r="B195" s="358" t="s">
        <v>32</v>
      </c>
      <c r="C195" s="359" t="s">
        <v>1426</v>
      </c>
      <c r="D195" s="360" t="s">
        <v>285</v>
      </c>
      <c r="E195" s="361" t="s">
        <v>286</v>
      </c>
      <c r="F195" s="394" t="s">
        <v>1199</v>
      </c>
      <c r="G195" s="363">
        <v>3730600577471</v>
      </c>
      <c r="H195" s="364">
        <v>218783</v>
      </c>
      <c r="I195" s="307">
        <f t="shared" si="28"/>
        <v>60</v>
      </c>
      <c r="J195" s="306">
        <f t="shared" si="29"/>
        <v>8</v>
      </c>
      <c r="K195" s="306">
        <f t="shared" si="30"/>
        <v>29</v>
      </c>
      <c r="L195" s="306" t="str">
        <f t="shared" si="31"/>
        <v>60 ปี  8 เดือน  29 วัน</v>
      </c>
      <c r="M195" s="308">
        <f t="shared" si="32"/>
        <v>600</v>
      </c>
      <c r="N195" s="308"/>
      <c r="O195" s="404" t="s">
        <v>1398</v>
      </c>
      <c r="P195" s="80">
        <v>6</v>
      </c>
      <c r="Q195" s="119"/>
      <c r="R195" s="119"/>
      <c r="S195" s="119"/>
      <c r="T195" s="119"/>
      <c r="U195" s="119"/>
      <c r="V195" s="119"/>
      <c r="W195" s="119"/>
      <c r="X195" s="80"/>
    </row>
    <row r="196" spans="1:24" s="57" customFormat="1" ht="21">
      <c r="A196" s="446">
        <v>189</v>
      </c>
      <c r="B196" s="358" t="s">
        <v>30</v>
      </c>
      <c r="C196" s="359" t="s">
        <v>1427</v>
      </c>
      <c r="D196" s="360" t="s">
        <v>1428</v>
      </c>
      <c r="E196" s="361" t="s">
        <v>1429</v>
      </c>
      <c r="F196" s="394" t="s">
        <v>1199</v>
      </c>
      <c r="G196" s="363">
        <v>3100502269425</v>
      </c>
      <c r="H196" s="364">
        <v>218959</v>
      </c>
      <c r="I196" s="307">
        <f t="shared" si="28"/>
        <v>60</v>
      </c>
      <c r="J196" s="306">
        <f t="shared" si="29"/>
        <v>3</v>
      </c>
      <c r="K196" s="306">
        <f t="shared" si="30"/>
        <v>4</v>
      </c>
      <c r="L196" s="306" t="str">
        <f t="shared" si="31"/>
        <v>60 ปี  3 เดือน  4 วัน</v>
      </c>
      <c r="M196" s="308">
        <f t="shared" si="32"/>
        <v>600</v>
      </c>
      <c r="N196" s="308"/>
      <c r="O196" s="404" t="s">
        <v>1398</v>
      </c>
      <c r="P196" s="80">
        <v>7</v>
      </c>
      <c r="Q196" s="119"/>
      <c r="R196" s="119"/>
      <c r="S196" s="119"/>
      <c r="T196" s="119"/>
      <c r="U196" s="119"/>
      <c r="V196" s="119"/>
      <c r="W196" s="119"/>
      <c r="X196" s="80"/>
    </row>
    <row r="197" spans="1:24" s="57" customFormat="1" ht="21">
      <c r="A197" s="446">
        <v>190</v>
      </c>
      <c r="B197" s="358" t="s">
        <v>30</v>
      </c>
      <c r="C197" s="359" t="s">
        <v>213</v>
      </c>
      <c r="D197" s="360" t="s">
        <v>1430</v>
      </c>
      <c r="E197" s="361" t="s">
        <v>946</v>
      </c>
      <c r="F197" s="394" t="s">
        <v>1199</v>
      </c>
      <c r="G197" s="363">
        <v>3100700108576</v>
      </c>
      <c r="H197" s="364">
        <v>218799</v>
      </c>
      <c r="I197" s="307">
        <f t="shared" si="28"/>
        <v>60</v>
      </c>
      <c r="J197" s="306">
        <f t="shared" si="29"/>
        <v>8</v>
      </c>
      <c r="K197" s="306">
        <f t="shared" si="30"/>
        <v>13</v>
      </c>
      <c r="L197" s="306" t="str">
        <f t="shared" si="31"/>
        <v>60 ปี  8 เดือน  13 วัน</v>
      </c>
      <c r="M197" s="308">
        <f t="shared" si="32"/>
        <v>600</v>
      </c>
      <c r="N197" s="308"/>
      <c r="O197" s="404" t="s">
        <v>1398</v>
      </c>
      <c r="P197" s="80">
        <v>8</v>
      </c>
      <c r="Q197" s="119"/>
      <c r="R197" s="119"/>
      <c r="S197" s="119"/>
      <c r="T197" s="119"/>
      <c r="U197" s="119"/>
      <c r="V197" s="119"/>
      <c r="W197" s="119"/>
      <c r="X197" s="80"/>
    </row>
    <row r="198" spans="1:24" s="57" customFormat="1" ht="21">
      <c r="A198" s="446">
        <v>191</v>
      </c>
      <c r="B198" s="358" t="s">
        <v>31</v>
      </c>
      <c r="C198" s="359" t="s">
        <v>1432</v>
      </c>
      <c r="D198" s="360" t="s">
        <v>300</v>
      </c>
      <c r="E198" s="361" t="s">
        <v>178</v>
      </c>
      <c r="F198" s="394" t="s">
        <v>1199</v>
      </c>
      <c r="G198" s="363">
        <v>3730600579407</v>
      </c>
      <c r="H198" s="364">
        <v>218758</v>
      </c>
      <c r="I198" s="307">
        <f t="shared" si="28"/>
        <v>60</v>
      </c>
      <c r="J198" s="306">
        <f t="shared" si="29"/>
        <v>9</v>
      </c>
      <c r="K198" s="306">
        <f t="shared" si="30"/>
        <v>23</v>
      </c>
      <c r="L198" s="306" t="str">
        <f t="shared" si="31"/>
        <v>60 ปี  9 เดือน  23 วัน</v>
      </c>
      <c r="M198" s="308">
        <f t="shared" si="32"/>
        <v>600</v>
      </c>
      <c r="N198" s="308"/>
      <c r="O198" s="404" t="s">
        <v>1398</v>
      </c>
      <c r="P198" s="80">
        <v>9</v>
      </c>
      <c r="Q198" s="119"/>
      <c r="R198" s="119"/>
      <c r="S198" s="119"/>
      <c r="T198" s="119"/>
      <c r="U198" s="119"/>
      <c r="V198" s="119"/>
      <c r="W198" s="119"/>
      <c r="X198" s="80"/>
    </row>
    <row r="199" spans="1:24" s="57" customFormat="1" ht="21">
      <c r="A199" s="446">
        <v>192</v>
      </c>
      <c r="B199" s="358" t="s">
        <v>31</v>
      </c>
      <c r="C199" s="359" t="s">
        <v>206</v>
      </c>
      <c r="D199" s="360" t="s">
        <v>343</v>
      </c>
      <c r="E199" s="361" t="s">
        <v>106</v>
      </c>
      <c r="F199" s="394" t="s">
        <v>1199</v>
      </c>
      <c r="G199" s="363">
        <v>3730600577242</v>
      </c>
      <c r="H199" s="364">
        <v>219005</v>
      </c>
      <c r="I199" s="307">
        <f t="shared" si="28"/>
        <v>60</v>
      </c>
      <c r="J199" s="306">
        <f t="shared" si="29"/>
        <v>1</v>
      </c>
      <c r="K199" s="306">
        <f t="shared" si="30"/>
        <v>19</v>
      </c>
      <c r="L199" s="306" t="str">
        <f t="shared" si="31"/>
        <v>60 ปี  1 เดือน  19 วัน</v>
      </c>
      <c r="M199" s="308">
        <f t="shared" si="32"/>
        <v>600</v>
      </c>
      <c r="N199" s="308"/>
      <c r="O199" s="404" t="s">
        <v>1398</v>
      </c>
      <c r="P199" s="80">
        <v>10</v>
      </c>
      <c r="Q199" s="119"/>
      <c r="R199" s="119"/>
      <c r="S199" s="119"/>
      <c r="T199" s="119"/>
      <c r="U199" s="119"/>
      <c r="V199" s="119"/>
      <c r="W199" s="119"/>
      <c r="X199" s="80"/>
    </row>
    <row r="200" spans="1:24" s="57" customFormat="1" ht="21">
      <c r="A200" s="446">
        <v>193</v>
      </c>
      <c r="B200" s="358" t="s">
        <v>31</v>
      </c>
      <c r="C200" s="359" t="s">
        <v>452</v>
      </c>
      <c r="D200" s="360" t="s">
        <v>1433</v>
      </c>
      <c r="E200" s="361" t="s">
        <v>769</v>
      </c>
      <c r="F200" s="394" t="s">
        <v>1199</v>
      </c>
      <c r="G200" s="363">
        <v>3730600577633</v>
      </c>
      <c r="H200" s="364">
        <v>218978</v>
      </c>
      <c r="I200" s="307">
        <f t="shared" si="28"/>
        <v>60</v>
      </c>
      <c r="J200" s="306">
        <f t="shared" si="29"/>
        <v>2</v>
      </c>
      <c r="K200" s="306">
        <f t="shared" si="30"/>
        <v>15</v>
      </c>
      <c r="L200" s="306" t="str">
        <f t="shared" si="31"/>
        <v>60 ปี  2 เดือน  15 วัน</v>
      </c>
      <c r="M200" s="308">
        <f t="shared" si="32"/>
        <v>600</v>
      </c>
      <c r="N200" s="308"/>
      <c r="O200" s="404" t="s">
        <v>1398</v>
      </c>
      <c r="P200" s="80">
        <v>11</v>
      </c>
      <c r="Q200" s="119"/>
      <c r="R200" s="119"/>
      <c r="S200" s="119"/>
      <c r="T200" s="119"/>
      <c r="U200" s="119"/>
      <c r="V200" s="119"/>
      <c r="W200" s="119"/>
      <c r="X200" s="80"/>
    </row>
    <row r="201" spans="1:24" s="57" customFormat="1" ht="21">
      <c r="A201" s="446">
        <v>194</v>
      </c>
      <c r="B201" s="358" t="s">
        <v>30</v>
      </c>
      <c r="C201" s="359" t="s">
        <v>1434</v>
      </c>
      <c r="D201" s="360" t="s">
        <v>477</v>
      </c>
      <c r="E201" s="361" t="s">
        <v>73</v>
      </c>
      <c r="F201" s="394" t="s">
        <v>1199</v>
      </c>
      <c r="G201" s="363">
        <v>3740200510698</v>
      </c>
      <c r="H201" s="364">
        <v>218719</v>
      </c>
      <c r="I201" s="307">
        <f t="shared" si="28"/>
        <v>60</v>
      </c>
      <c r="J201" s="306">
        <f t="shared" si="29"/>
        <v>11</v>
      </c>
      <c r="K201" s="306">
        <f t="shared" si="30"/>
        <v>1</v>
      </c>
      <c r="L201" s="306" t="str">
        <f t="shared" si="31"/>
        <v>60 ปี  11 เดือน  1 วัน</v>
      </c>
      <c r="M201" s="308">
        <f t="shared" si="32"/>
        <v>600</v>
      </c>
      <c r="N201" s="308"/>
      <c r="O201" s="404" t="s">
        <v>1398</v>
      </c>
      <c r="P201" s="80">
        <v>12</v>
      </c>
      <c r="Q201" s="119"/>
      <c r="R201" s="119"/>
      <c r="S201" s="119"/>
      <c r="T201" s="119"/>
      <c r="U201" s="119"/>
      <c r="V201" s="119"/>
      <c r="W201" s="119"/>
      <c r="X201" s="80"/>
    </row>
    <row r="202" spans="1:24" s="57" customFormat="1" ht="21">
      <c r="A202" s="446">
        <v>195</v>
      </c>
      <c r="B202" s="358" t="s">
        <v>31</v>
      </c>
      <c r="C202" s="359" t="s">
        <v>1435</v>
      </c>
      <c r="D202" s="360" t="s">
        <v>1436</v>
      </c>
      <c r="E202" s="361" t="s">
        <v>1437</v>
      </c>
      <c r="F202" s="394" t="s">
        <v>1199</v>
      </c>
      <c r="G202" s="363">
        <v>3102200136866</v>
      </c>
      <c r="H202" s="364">
        <v>218947</v>
      </c>
      <c r="I202" s="307">
        <f t="shared" si="28"/>
        <v>60</v>
      </c>
      <c r="J202" s="306">
        <f t="shared" si="29"/>
        <v>3</v>
      </c>
      <c r="K202" s="306">
        <f t="shared" si="30"/>
        <v>16</v>
      </c>
      <c r="L202" s="306" t="str">
        <f t="shared" si="31"/>
        <v>60 ปี  3 เดือน  16 วัน</v>
      </c>
      <c r="M202" s="308">
        <f t="shared" si="32"/>
        <v>600</v>
      </c>
      <c r="N202" s="308"/>
      <c r="O202" s="404" t="s">
        <v>1398</v>
      </c>
      <c r="P202" s="80">
        <v>13</v>
      </c>
      <c r="Q202" s="119"/>
      <c r="R202" s="119"/>
      <c r="S202" s="119"/>
      <c r="T202" s="119"/>
      <c r="U202" s="119"/>
      <c r="V202" s="119"/>
      <c r="W202" s="119"/>
      <c r="X202" s="80"/>
    </row>
    <row r="203" spans="1:24" s="57" customFormat="1" ht="21">
      <c r="A203" s="446">
        <v>196</v>
      </c>
      <c r="B203" s="358" t="s">
        <v>31</v>
      </c>
      <c r="C203" s="359" t="s">
        <v>1372</v>
      </c>
      <c r="D203" s="360" t="s">
        <v>1265</v>
      </c>
      <c r="E203" s="361" t="s">
        <v>1266</v>
      </c>
      <c r="F203" s="394" t="s">
        <v>1199</v>
      </c>
      <c r="G203" s="363">
        <v>3730600277435</v>
      </c>
      <c r="H203" s="364">
        <v>218922</v>
      </c>
      <c r="I203" s="307">
        <f t="shared" si="28"/>
        <v>60</v>
      </c>
      <c r="J203" s="306">
        <f t="shared" si="29"/>
        <v>4</v>
      </c>
      <c r="K203" s="306">
        <f t="shared" si="30"/>
        <v>10</v>
      </c>
      <c r="L203" s="306" t="str">
        <f t="shared" si="31"/>
        <v>60 ปี  4 เดือน  10 วัน</v>
      </c>
      <c r="M203" s="308">
        <f t="shared" si="32"/>
        <v>600</v>
      </c>
      <c r="N203" s="308"/>
      <c r="O203" s="404" t="s">
        <v>1398</v>
      </c>
      <c r="P203" s="80">
        <v>14</v>
      </c>
      <c r="Q203" s="119"/>
      <c r="R203" s="119"/>
      <c r="S203" s="119"/>
      <c r="T203" s="119"/>
      <c r="U203" s="119"/>
      <c r="V203" s="119"/>
      <c r="W203" s="119"/>
      <c r="X203" s="80"/>
    </row>
    <row r="204" spans="1:24" s="57" customFormat="1" ht="21">
      <c r="A204" s="446">
        <v>197</v>
      </c>
      <c r="B204" s="358" t="s">
        <v>31</v>
      </c>
      <c r="C204" s="359" t="s">
        <v>1438</v>
      </c>
      <c r="D204" s="360" t="s">
        <v>1439</v>
      </c>
      <c r="E204" s="361" t="s">
        <v>1440</v>
      </c>
      <c r="F204" s="394" t="s">
        <v>1199</v>
      </c>
      <c r="G204" s="363">
        <v>3101400213375</v>
      </c>
      <c r="H204" s="364">
        <v>218949</v>
      </c>
      <c r="I204" s="307">
        <f t="shared" si="28"/>
        <v>60</v>
      </c>
      <c r="J204" s="306">
        <f t="shared" si="29"/>
        <v>3</v>
      </c>
      <c r="K204" s="306">
        <f t="shared" si="30"/>
        <v>14</v>
      </c>
      <c r="L204" s="306" t="str">
        <f t="shared" si="31"/>
        <v>60 ปี  3 เดือน  14 วัน</v>
      </c>
      <c r="M204" s="308">
        <f t="shared" si="32"/>
        <v>600</v>
      </c>
      <c r="N204" s="308"/>
      <c r="O204" s="404" t="s">
        <v>1398</v>
      </c>
      <c r="P204" s="80">
        <v>15</v>
      </c>
      <c r="Q204" s="119"/>
      <c r="R204" s="119"/>
      <c r="S204" s="119"/>
      <c r="T204" s="119"/>
      <c r="U204" s="119"/>
      <c r="V204" s="119"/>
      <c r="W204" s="119"/>
      <c r="X204" s="80"/>
    </row>
    <row r="205" spans="1:24" s="57" customFormat="1" ht="21">
      <c r="A205" s="446">
        <v>198</v>
      </c>
      <c r="B205" s="358" t="s">
        <v>31</v>
      </c>
      <c r="C205" s="359" t="s">
        <v>1441</v>
      </c>
      <c r="D205" s="360" t="s">
        <v>1442</v>
      </c>
      <c r="E205" s="361" t="s">
        <v>1443</v>
      </c>
      <c r="F205" s="394" t="s">
        <v>1199</v>
      </c>
      <c r="G205" s="363">
        <v>3101203134537</v>
      </c>
      <c r="H205" s="364">
        <v>218625</v>
      </c>
      <c r="I205" s="307">
        <f t="shared" si="28"/>
        <v>61</v>
      </c>
      <c r="J205" s="306">
        <f t="shared" si="29"/>
        <v>2</v>
      </c>
      <c r="K205" s="306">
        <f t="shared" si="30"/>
        <v>3</v>
      </c>
      <c r="L205" s="306" t="str">
        <f t="shared" si="31"/>
        <v>61 ปี  2 เดือน  3 วัน</v>
      </c>
      <c r="M205" s="308">
        <f t="shared" si="32"/>
        <v>600</v>
      </c>
      <c r="N205" s="308"/>
      <c r="O205" s="404" t="s">
        <v>1398</v>
      </c>
      <c r="P205" s="80">
        <v>16</v>
      </c>
      <c r="Q205" s="119"/>
      <c r="R205" s="119"/>
      <c r="S205" s="119"/>
      <c r="T205" s="119"/>
      <c r="U205" s="119"/>
      <c r="V205" s="119"/>
      <c r="W205" s="119"/>
      <c r="X205" s="80"/>
    </row>
    <row r="206" spans="1:24" s="57" customFormat="1" ht="21">
      <c r="A206" s="446">
        <v>199</v>
      </c>
      <c r="B206" s="358" t="s">
        <v>30</v>
      </c>
      <c r="C206" s="359" t="s">
        <v>514</v>
      </c>
      <c r="D206" s="360" t="s">
        <v>1011</v>
      </c>
      <c r="E206" s="361" t="s">
        <v>96</v>
      </c>
      <c r="F206" s="394" t="s">
        <v>1199</v>
      </c>
      <c r="G206" s="363">
        <v>3730600574634</v>
      </c>
      <c r="H206" s="364">
        <v>218783</v>
      </c>
      <c r="I206" s="307">
        <f t="shared" si="28"/>
        <v>60</v>
      </c>
      <c r="J206" s="306">
        <f t="shared" si="29"/>
        <v>8</v>
      </c>
      <c r="K206" s="306">
        <f t="shared" si="30"/>
        <v>29</v>
      </c>
      <c r="L206" s="306" t="str">
        <f t="shared" si="31"/>
        <v>60 ปี  8 เดือน  29 วัน</v>
      </c>
      <c r="M206" s="308">
        <f t="shared" si="32"/>
        <v>600</v>
      </c>
      <c r="N206" s="308"/>
      <c r="O206" s="404" t="s">
        <v>1398</v>
      </c>
      <c r="P206" s="80">
        <v>17</v>
      </c>
      <c r="Q206" s="119"/>
      <c r="R206" s="119"/>
      <c r="S206" s="119"/>
      <c r="T206" s="119"/>
      <c r="U206" s="119"/>
      <c r="V206" s="119"/>
      <c r="W206" s="119"/>
      <c r="X206" s="80"/>
    </row>
    <row r="207" spans="1:24" s="57" customFormat="1" ht="21">
      <c r="A207" s="446">
        <v>200</v>
      </c>
      <c r="B207" s="358" t="s">
        <v>31</v>
      </c>
      <c r="C207" s="359" t="s">
        <v>1444</v>
      </c>
      <c r="D207" s="360" t="s">
        <v>1412</v>
      </c>
      <c r="E207" s="361" t="s">
        <v>1413</v>
      </c>
      <c r="F207" s="394" t="s">
        <v>1199</v>
      </c>
      <c r="G207" s="363">
        <v>3100900165999</v>
      </c>
      <c r="H207" s="364">
        <v>218910</v>
      </c>
      <c r="I207" s="307">
        <f t="shared" si="28"/>
        <v>60</v>
      </c>
      <c r="J207" s="306">
        <f t="shared" si="29"/>
        <v>4</v>
      </c>
      <c r="K207" s="306">
        <f t="shared" si="30"/>
        <v>22</v>
      </c>
      <c r="L207" s="306" t="str">
        <f t="shared" si="31"/>
        <v>60 ปี  4 เดือน  22 วัน</v>
      </c>
      <c r="M207" s="308">
        <f t="shared" si="32"/>
        <v>600</v>
      </c>
      <c r="N207" s="308"/>
      <c r="O207" s="404" t="s">
        <v>1398</v>
      </c>
      <c r="P207" s="80">
        <v>18</v>
      </c>
      <c r="Q207" s="119"/>
      <c r="R207" s="119"/>
      <c r="S207" s="119"/>
      <c r="T207" s="119"/>
      <c r="U207" s="119"/>
      <c r="V207" s="119"/>
      <c r="W207" s="119"/>
      <c r="X207" s="80"/>
    </row>
    <row r="208" spans="1:24" s="57" customFormat="1" ht="21">
      <c r="A208" s="446">
        <v>201</v>
      </c>
      <c r="B208" s="358" t="s">
        <v>30</v>
      </c>
      <c r="C208" s="359" t="s">
        <v>603</v>
      </c>
      <c r="D208" s="360" t="s">
        <v>1445</v>
      </c>
      <c r="E208" s="361" t="s">
        <v>1446</v>
      </c>
      <c r="F208" s="394" t="s">
        <v>1199</v>
      </c>
      <c r="G208" s="363">
        <v>3101800342521</v>
      </c>
      <c r="H208" s="364">
        <v>219045</v>
      </c>
      <c r="I208" s="307">
        <f t="shared" si="28"/>
        <v>60</v>
      </c>
      <c r="J208" s="306">
        <f t="shared" si="29"/>
        <v>0</v>
      </c>
      <c r="K208" s="306">
        <f t="shared" si="30"/>
        <v>10</v>
      </c>
      <c r="L208" s="306" t="str">
        <f t="shared" si="31"/>
        <v>60 ปี  0 เดือน  10 วัน</v>
      </c>
      <c r="M208" s="308">
        <f t="shared" si="32"/>
        <v>600</v>
      </c>
      <c r="N208" s="308"/>
      <c r="O208" s="404" t="s">
        <v>1398</v>
      </c>
      <c r="P208" s="80">
        <v>19</v>
      </c>
      <c r="Q208" s="119"/>
      <c r="R208" s="119"/>
      <c r="S208" s="119"/>
      <c r="T208" s="119"/>
      <c r="U208" s="119"/>
      <c r="V208" s="119"/>
      <c r="W208" s="119"/>
      <c r="X208" s="80"/>
    </row>
    <row r="209" spans="1:24" s="57" customFormat="1" ht="21">
      <c r="A209" s="446">
        <v>202</v>
      </c>
      <c r="B209" s="358" t="s">
        <v>30</v>
      </c>
      <c r="C209" s="359" t="s">
        <v>1078</v>
      </c>
      <c r="D209" s="360" t="s">
        <v>1447</v>
      </c>
      <c r="E209" s="361" t="s">
        <v>689</v>
      </c>
      <c r="F209" s="394" t="s">
        <v>1199</v>
      </c>
      <c r="G209" s="363">
        <v>5730690000728</v>
      </c>
      <c r="H209" s="364">
        <v>218938</v>
      </c>
      <c r="I209" s="307">
        <f t="shared" si="28"/>
        <v>60</v>
      </c>
      <c r="J209" s="306">
        <f t="shared" si="29"/>
        <v>3</v>
      </c>
      <c r="K209" s="306">
        <f t="shared" si="30"/>
        <v>25</v>
      </c>
      <c r="L209" s="306" t="str">
        <f t="shared" si="31"/>
        <v>60 ปี  3 เดือน  25 วัน</v>
      </c>
      <c r="M209" s="308">
        <f t="shared" si="32"/>
        <v>600</v>
      </c>
      <c r="N209" s="308"/>
      <c r="O209" s="404" t="s">
        <v>1398</v>
      </c>
      <c r="P209" s="80">
        <v>20</v>
      </c>
      <c r="Q209" s="119"/>
      <c r="R209" s="119"/>
      <c r="S209" s="119"/>
      <c r="T209" s="119"/>
      <c r="U209" s="119"/>
      <c r="V209" s="119"/>
      <c r="W209" s="119"/>
      <c r="X209" s="80"/>
    </row>
    <row r="210" spans="1:24" s="57" customFormat="1" ht="21">
      <c r="A210" s="446">
        <v>203</v>
      </c>
      <c r="B210" s="358" t="s">
        <v>32</v>
      </c>
      <c r="C210" s="359" t="s">
        <v>1448</v>
      </c>
      <c r="D210" s="360" t="s">
        <v>1449</v>
      </c>
      <c r="E210" s="361" t="s">
        <v>1450</v>
      </c>
      <c r="F210" s="394" t="s">
        <v>1199</v>
      </c>
      <c r="G210" s="363">
        <v>3100100614802</v>
      </c>
      <c r="H210" s="364">
        <v>219006</v>
      </c>
      <c r="I210" s="307">
        <f t="shared" si="28"/>
        <v>60</v>
      </c>
      <c r="J210" s="306">
        <f t="shared" si="29"/>
        <v>1</v>
      </c>
      <c r="K210" s="306">
        <f t="shared" si="30"/>
        <v>18</v>
      </c>
      <c r="L210" s="306" t="str">
        <f t="shared" si="31"/>
        <v>60 ปี  1 เดือน  18 วัน</v>
      </c>
      <c r="M210" s="308">
        <f t="shared" si="32"/>
        <v>600</v>
      </c>
      <c r="N210" s="308"/>
      <c r="O210" s="404" t="s">
        <v>1398</v>
      </c>
      <c r="P210" s="80">
        <v>21</v>
      </c>
      <c r="Q210" s="119"/>
      <c r="R210" s="119"/>
      <c r="S210" s="119"/>
      <c r="T210" s="119"/>
      <c r="U210" s="119"/>
      <c r="V210" s="119"/>
      <c r="W210" s="119"/>
      <c r="X210" s="80"/>
    </row>
    <row r="211" spans="1:24" s="57" customFormat="1" ht="21">
      <c r="A211" s="446">
        <v>204</v>
      </c>
      <c r="B211" s="358" t="s">
        <v>30</v>
      </c>
      <c r="C211" s="359" t="s">
        <v>1451</v>
      </c>
      <c r="D211" s="360" t="s">
        <v>1452</v>
      </c>
      <c r="E211" s="361" t="s">
        <v>1453</v>
      </c>
      <c r="F211" s="394" t="s">
        <v>1199</v>
      </c>
      <c r="G211" s="363">
        <v>3100100748841</v>
      </c>
      <c r="H211" s="364">
        <v>219008</v>
      </c>
      <c r="I211" s="307">
        <f t="shared" si="28"/>
        <v>60</v>
      </c>
      <c r="J211" s="306">
        <f t="shared" si="29"/>
        <v>1</v>
      </c>
      <c r="K211" s="306">
        <f t="shared" si="30"/>
        <v>16</v>
      </c>
      <c r="L211" s="306" t="str">
        <f t="shared" si="31"/>
        <v>60 ปี  1 เดือน  16 วัน</v>
      </c>
      <c r="M211" s="308">
        <f t="shared" si="32"/>
        <v>600</v>
      </c>
      <c r="N211" s="308"/>
      <c r="O211" s="404" t="s">
        <v>1398</v>
      </c>
      <c r="P211" s="80">
        <v>22</v>
      </c>
      <c r="Q211" s="119"/>
      <c r="R211" s="119"/>
      <c r="S211" s="119"/>
      <c r="T211" s="119"/>
      <c r="U211" s="119"/>
      <c r="V211" s="119"/>
      <c r="W211" s="119"/>
      <c r="X211" s="80"/>
    </row>
    <row r="212" spans="1:24" s="57" customFormat="1" ht="21">
      <c r="A212" s="446">
        <v>205</v>
      </c>
      <c r="B212" s="358" t="s">
        <v>31</v>
      </c>
      <c r="C212" s="359" t="s">
        <v>1459</v>
      </c>
      <c r="D212" s="360" t="s">
        <v>1460</v>
      </c>
      <c r="E212" s="361" t="s">
        <v>72</v>
      </c>
      <c r="F212" s="394" t="s">
        <v>1199</v>
      </c>
      <c r="G212" s="363">
        <v>3730600579024</v>
      </c>
      <c r="H212" s="364">
        <v>218981</v>
      </c>
      <c r="I212" s="307">
        <f t="shared" si="28"/>
        <v>60</v>
      </c>
      <c r="J212" s="306">
        <f t="shared" si="29"/>
        <v>2</v>
      </c>
      <c r="K212" s="306">
        <f t="shared" si="30"/>
        <v>12</v>
      </c>
      <c r="L212" s="306" t="str">
        <f t="shared" si="31"/>
        <v>60 ปี  2 เดือน  12 วัน</v>
      </c>
      <c r="M212" s="308">
        <f t="shared" si="32"/>
        <v>600</v>
      </c>
      <c r="N212" s="308"/>
      <c r="O212" s="404" t="s">
        <v>1398</v>
      </c>
      <c r="P212" s="80">
        <v>23</v>
      </c>
      <c r="Q212" s="119"/>
      <c r="R212" s="119"/>
      <c r="S212" s="119"/>
      <c r="T212" s="119"/>
      <c r="U212" s="119"/>
      <c r="V212" s="119"/>
      <c r="W212" s="119"/>
      <c r="X212" s="80"/>
    </row>
    <row r="213" spans="1:24" s="57" customFormat="1" ht="21">
      <c r="A213" s="446"/>
      <c r="B213" s="385" t="s">
        <v>31</v>
      </c>
      <c r="C213" s="395" t="s">
        <v>1461</v>
      </c>
      <c r="D213" s="396" t="s">
        <v>1462</v>
      </c>
      <c r="E213" s="388" t="s">
        <v>259</v>
      </c>
      <c r="F213" s="397" t="s">
        <v>1199</v>
      </c>
      <c r="G213" s="390">
        <v>3100903290441</v>
      </c>
      <c r="H213" s="391">
        <v>218692</v>
      </c>
      <c r="I213" s="306">
        <v>0</v>
      </c>
      <c r="J213" s="306">
        <f t="shared" si="29"/>
        <v>11</v>
      </c>
      <c r="K213" s="306">
        <f t="shared" si="30"/>
        <v>28</v>
      </c>
      <c r="L213" s="306" t="str">
        <f t="shared" si="31"/>
        <v>0 ปี  11 เดือน  28 วัน</v>
      </c>
      <c r="M213" s="405">
        <v>0</v>
      </c>
      <c r="N213" s="405"/>
      <c r="O213" s="406" t="s">
        <v>1545</v>
      </c>
      <c r="P213" s="80">
        <v>24</v>
      </c>
      <c r="Q213" s="119"/>
      <c r="R213" s="119"/>
      <c r="S213" s="119"/>
      <c r="T213" s="119"/>
      <c r="U213" s="119"/>
      <c r="V213" s="119"/>
      <c r="W213" s="119"/>
      <c r="X213" s="80"/>
    </row>
    <row r="214" spans="1:24" s="57" customFormat="1" ht="21">
      <c r="A214" s="446">
        <v>206</v>
      </c>
      <c r="B214" s="358" t="s">
        <v>31</v>
      </c>
      <c r="C214" s="359" t="s">
        <v>1463</v>
      </c>
      <c r="D214" s="360" t="s">
        <v>1464</v>
      </c>
      <c r="E214" s="361" t="s">
        <v>1465</v>
      </c>
      <c r="F214" s="394" t="s">
        <v>1199</v>
      </c>
      <c r="G214" s="363">
        <v>3730600575487</v>
      </c>
      <c r="H214" s="364">
        <v>218743</v>
      </c>
      <c r="I214" s="307">
        <f t="shared" si="28"/>
        <v>60</v>
      </c>
      <c r="J214" s="306">
        <f t="shared" si="29"/>
        <v>10</v>
      </c>
      <c r="K214" s="306">
        <f t="shared" si="30"/>
        <v>8</v>
      </c>
      <c r="L214" s="306" t="str">
        <f t="shared" si="31"/>
        <v>60 ปี  10 เดือน  8 วัน</v>
      </c>
      <c r="M214" s="308">
        <f t="shared" si="32"/>
        <v>600</v>
      </c>
      <c r="N214" s="308"/>
      <c r="O214" s="404" t="s">
        <v>1398</v>
      </c>
      <c r="P214" s="80">
        <v>25</v>
      </c>
      <c r="Q214" s="119"/>
      <c r="R214" s="119"/>
      <c r="S214" s="119"/>
      <c r="T214" s="119"/>
      <c r="U214" s="119"/>
      <c r="V214" s="119"/>
      <c r="W214" s="119"/>
      <c r="X214" s="80"/>
    </row>
    <row r="215" spans="1:24" s="57" customFormat="1" ht="21">
      <c r="A215" s="446">
        <v>207</v>
      </c>
      <c r="B215" s="358" t="s">
        <v>30</v>
      </c>
      <c r="C215" s="359" t="s">
        <v>1326</v>
      </c>
      <c r="D215" s="360" t="s">
        <v>1466</v>
      </c>
      <c r="E215" s="361" t="s">
        <v>1467</v>
      </c>
      <c r="F215" s="394" t="s">
        <v>1199</v>
      </c>
      <c r="G215" s="363">
        <v>3100202529766</v>
      </c>
      <c r="H215" s="364">
        <v>218556</v>
      </c>
      <c r="I215" s="307">
        <f t="shared" si="28"/>
        <v>61</v>
      </c>
      <c r="J215" s="306">
        <f t="shared" si="29"/>
        <v>4</v>
      </c>
      <c r="K215" s="306">
        <f t="shared" si="30"/>
        <v>11</v>
      </c>
      <c r="L215" s="306" t="str">
        <f t="shared" si="31"/>
        <v>61 ปี  4 เดือน  11 วัน</v>
      </c>
      <c r="M215" s="308">
        <f t="shared" si="32"/>
        <v>600</v>
      </c>
      <c r="N215" s="308"/>
      <c r="O215" s="404" t="s">
        <v>1398</v>
      </c>
      <c r="P215" s="80">
        <v>26</v>
      </c>
      <c r="Q215" s="119"/>
      <c r="R215" s="119"/>
      <c r="S215" s="119"/>
      <c r="T215" s="119"/>
      <c r="U215" s="119"/>
      <c r="V215" s="119"/>
      <c r="W215" s="119"/>
      <c r="X215" s="80"/>
    </row>
    <row r="216" spans="1:24" s="57" customFormat="1" ht="21">
      <c r="A216" s="446">
        <v>208</v>
      </c>
      <c r="B216" s="358" t="s">
        <v>30</v>
      </c>
      <c r="C216" s="359" t="s">
        <v>1468</v>
      </c>
      <c r="D216" s="360" t="s">
        <v>1469</v>
      </c>
      <c r="E216" s="361" t="s">
        <v>1470</v>
      </c>
      <c r="F216" s="394" t="s">
        <v>1199</v>
      </c>
      <c r="G216" s="363">
        <v>3102002769951</v>
      </c>
      <c r="H216" s="364">
        <v>218618</v>
      </c>
      <c r="I216" s="307">
        <f t="shared" si="28"/>
        <v>61</v>
      </c>
      <c r="J216" s="306">
        <f t="shared" si="29"/>
        <v>2</v>
      </c>
      <c r="K216" s="306">
        <f t="shared" si="30"/>
        <v>10</v>
      </c>
      <c r="L216" s="306" t="str">
        <f t="shared" si="31"/>
        <v>61 ปี  2 เดือน  10 วัน</v>
      </c>
      <c r="M216" s="308">
        <f t="shared" si="32"/>
        <v>600</v>
      </c>
      <c r="N216" s="308"/>
      <c r="O216" s="404" t="s">
        <v>1398</v>
      </c>
      <c r="P216" s="80">
        <v>27</v>
      </c>
      <c r="Q216" s="119"/>
      <c r="R216" s="119"/>
      <c r="S216" s="119"/>
      <c r="T216" s="119"/>
      <c r="U216" s="119"/>
      <c r="V216" s="119"/>
      <c r="W216" s="119"/>
      <c r="X216" s="80"/>
    </row>
    <row r="217" spans="1:24" s="57" customFormat="1" ht="21">
      <c r="A217" s="446">
        <v>209</v>
      </c>
      <c r="B217" s="358" t="s">
        <v>31</v>
      </c>
      <c r="C217" s="359" t="s">
        <v>1471</v>
      </c>
      <c r="D217" s="360" t="s">
        <v>354</v>
      </c>
      <c r="E217" s="361" t="s">
        <v>108</v>
      </c>
      <c r="F217" s="394" t="s">
        <v>1199</v>
      </c>
      <c r="G217" s="363">
        <v>3730600578575</v>
      </c>
      <c r="H217" s="364">
        <v>218604</v>
      </c>
      <c r="I217" s="307">
        <f t="shared" si="28"/>
        <v>61</v>
      </c>
      <c r="J217" s="306">
        <f t="shared" si="29"/>
        <v>2</v>
      </c>
      <c r="K217" s="306">
        <f t="shared" si="30"/>
        <v>24</v>
      </c>
      <c r="L217" s="306" t="str">
        <f t="shared" si="31"/>
        <v>61 ปี  2 เดือน  24 วัน</v>
      </c>
      <c r="M217" s="308">
        <f t="shared" si="32"/>
        <v>600</v>
      </c>
      <c r="N217" s="308"/>
      <c r="O217" s="404" t="s">
        <v>1398</v>
      </c>
      <c r="P217" s="80">
        <v>28</v>
      </c>
      <c r="Q217" s="119"/>
      <c r="R217" s="119"/>
      <c r="S217" s="119"/>
      <c r="T217" s="119"/>
      <c r="U217" s="119"/>
      <c r="V217" s="119"/>
      <c r="W217" s="119"/>
      <c r="X217" s="80"/>
    </row>
    <row r="218" spans="1:24" s="57" customFormat="1" ht="21">
      <c r="A218" s="446">
        <v>210</v>
      </c>
      <c r="B218" s="358" t="s">
        <v>31</v>
      </c>
      <c r="C218" s="359" t="s">
        <v>1472</v>
      </c>
      <c r="D218" s="360" t="s">
        <v>300</v>
      </c>
      <c r="E218" s="361" t="s">
        <v>1473</v>
      </c>
      <c r="F218" s="394" t="s">
        <v>1199</v>
      </c>
      <c r="G218" s="363">
        <v>3730600581266</v>
      </c>
      <c r="H218" s="364">
        <v>218763</v>
      </c>
      <c r="I218" s="307">
        <f t="shared" si="28"/>
        <v>60</v>
      </c>
      <c r="J218" s="306">
        <f t="shared" si="29"/>
        <v>9</v>
      </c>
      <c r="K218" s="306">
        <f t="shared" si="30"/>
        <v>18</v>
      </c>
      <c r="L218" s="306" t="str">
        <f t="shared" si="31"/>
        <v>60 ปี  9 เดือน  18 วัน</v>
      </c>
      <c r="M218" s="308">
        <f t="shared" si="32"/>
        <v>600</v>
      </c>
      <c r="N218" s="308"/>
      <c r="O218" s="404" t="s">
        <v>1398</v>
      </c>
      <c r="P218" s="80">
        <v>29</v>
      </c>
      <c r="Q218" s="119"/>
      <c r="R218" s="119"/>
      <c r="S218" s="119"/>
      <c r="T218" s="119"/>
      <c r="U218" s="119"/>
      <c r="V218" s="119"/>
      <c r="W218" s="119"/>
      <c r="X218" s="80"/>
    </row>
    <row r="219" spans="1:24" s="57" customFormat="1" ht="21">
      <c r="A219" s="446">
        <v>211</v>
      </c>
      <c r="B219" s="358" t="s">
        <v>32</v>
      </c>
      <c r="C219" s="359" t="s">
        <v>1474</v>
      </c>
      <c r="D219" s="360" t="s">
        <v>346</v>
      </c>
      <c r="E219" s="361" t="s">
        <v>120</v>
      </c>
      <c r="F219" s="394" t="s">
        <v>1199</v>
      </c>
      <c r="G219" s="363">
        <v>3101600350830</v>
      </c>
      <c r="H219" s="364">
        <v>219010</v>
      </c>
      <c r="I219" s="307">
        <f t="shared" si="28"/>
        <v>60</v>
      </c>
      <c r="J219" s="306">
        <f t="shared" si="29"/>
        <v>1</v>
      </c>
      <c r="K219" s="306">
        <f t="shared" si="30"/>
        <v>14</v>
      </c>
      <c r="L219" s="306" t="str">
        <f t="shared" si="31"/>
        <v>60 ปี  1 เดือน  14 วัน</v>
      </c>
      <c r="M219" s="308">
        <f t="shared" si="32"/>
        <v>600</v>
      </c>
      <c r="N219" s="308"/>
      <c r="O219" s="404" t="s">
        <v>1398</v>
      </c>
      <c r="P219" s="80">
        <v>30</v>
      </c>
      <c r="Q219" s="119"/>
      <c r="R219" s="119"/>
      <c r="S219" s="119"/>
      <c r="T219" s="119"/>
      <c r="U219" s="119"/>
      <c r="V219" s="119"/>
      <c r="W219" s="119"/>
      <c r="X219" s="80"/>
    </row>
    <row r="220" spans="1:24" s="57" customFormat="1" ht="21">
      <c r="A220" s="446">
        <v>212</v>
      </c>
      <c r="B220" s="358" t="s">
        <v>31</v>
      </c>
      <c r="C220" s="359" t="s">
        <v>603</v>
      </c>
      <c r="D220" s="360" t="s">
        <v>1475</v>
      </c>
      <c r="E220" s="361" t="s">
        <v>1476</v>
      </c>
      <c r="F220" s="394" t="s">
        <v>1199</v>
      </c>
      <c r="G220" s="363">
        <v>3730600580090</v>
      </c>
      <c r="H220" s="364">
        <v>218418</v>
      </c>
      <c r="I220" s="307">
        <f t="shared" si="28"/>
        <v>61</v>
      </c>
      <c r="J220" s="306">
        <f t="shared" si="29"/>
        <v>8</v>
      </c>
      <c r="K220" s="306">
        <f t="shared" si="30"/>
        <v>29</v>
      </c>
      <c r="L220" s="306" t="str">
        <f t="shared" si="31"/>
        <v>61 ปี  8 เดือน  29 วัน</v>
      </c>
      <c r="M220" s="308">
        <f t="shared" si="32"/>
        <v>600</v>
      </c>
      <c r="N220" s="308"/>
      <c r="O220" s="404" t="s">
        <v>1398</v>
      </c>
      <c r="P220" s="80">
        <v>31</v>
      </c>
      <c r="Q220" s="119"/>
      <c r="R220" s="119"/>
      <c r="S220" s="119"/>
      <c r="T220" s="119"/>
      <c r="U220" s="119"/>
      <c r="V220" s="119"/>
      <c r="W220" s="119"/>
      <c r="X220" s="80"/>
    </row>
    <row r="221" spans="1:24" s="57" customFormat="1" ht="21">
      <c r="A221" s="446">
        <v>213</v>
      </c>
      <c r="B221" s="358" t="s">
        <v>31</v>
      </c>
      <c r="C221" s="359" t="s">
        <v>1477</v>
      </c>
      <c r="D221" s="360" t="s">
        <v>282</v>
      </c>
      <c r="E221" s="361" t="s">
        <v>283</v>
      </c>
      <c r="F221" s="394" t="s">
        <v>1199</v>
      </c>
      <c r="G221" s="363">
        <v>3800101837183</v>
      </c>
      <c r="H221" s="364">
        <v>218954</v>
      </c>
      <c r="I221" s="307">
        <f t="shared" si="28"/>
        <v>60</v>
      </c>
      <c r="J221" s="306">
        <f t="shared" si="29"/>
        <v>3</v>
      </c>
      <c r="K221" s="306">
        <f t="shared" si="30"/>
        <v>9</v>
      </c>
      <c r="L221" s="306" t="str">
        <f t="shared" si="31"/>
        <v>60 ปี  3 เดือน  9 วัน</v>
      </c>
      <c r="M221" s="308">
        <f t="shared" si="32"/>
        <v>600</v>
      </c>
      <c r="N221" s="308"/>
      <c r="O221" s="404" t="s">
        <v>1398</v>
      </c>
      <c r="P221" s="80">
        <v>32</v>
      </c>
      <c r="Q221" s="119"/>
      <c r="R221" s="119"/>
      <c r="S221" s="119"/>
      <c r="T221" s="119"/>
      <c r="U221" s="119"/>
      <c r="V221" s="119"/>
      <c r="W221" s="119"/>
      <c r="X221" s="80"/>
    </row>
    <row r="222" spans="1:24" s="57" customFormat="1" ht="21">
      <c r="A222" s="446">
        <v>214</v>
      </c>
      <c r="B222" s="358" t="s">
        <v>31</v>
      </c>
      <c r="C222" s="359" t="s">
        <v>40</v>
      </c>
      <c r="D222" s="360" t="s">
        <v>300</v>
      </c>
      <c r="E222" s="361" t="s">
        <v>352</v>
      </c>
      <c r="F222" s="394" t="s">
        <v>1199</v>
      </c>
      <c r="G222" s="363">
        <v>3730600575851</v>
      </c>
      <c r="H222" s="364">
        <v>218503</v>
      </c>
      <c r="I222" s="307">
        <f t="shared" si="28"/>
        <v>61</v>
      </c>
      <c r="J222" s="306">
        <f t="shared" si="29"/>
        <v>6</v>
      </c>
      <c r="K222" s="306">
        <f t="shared" si="30"/>
        <v>3</v>
      </c>
      <c r="L222" s="306" t="str">
        <f t="shared" si="31"/>
        <v>61 ปี  6 เดือน  3 วัน</v>
      </c>
      <c r="M222" s="308">
        <f t="shared" si="32"/>
        <v>600</v>
      </c>
      <c r="N222" s="308"/>
      <c r="O222" s="404" t="s">
        <v>1398</v>
      </c>
      <c r="P222" s="80">
        <v>33</v>
      </c>
      <c r="Q222" s="119"/>
      <c r="R222" s="119"/>
      <c r="S222" s="119"/>
      <c r="T222" s="119"/>
      <c r="U222" s="119"/>
      <c r="V222" s="119"/>
      <c r="W222" s="119"/>
      <c r="X222" s="80"/>
    </row>
    <row r="223" spans="1:24" s="57" customFormat="1" ht="21">
      <c r="A223" s="446">
        <v>215</v>
      </c>
      <c r="B223" s="358" t="s">
        <v>31</v>
      </c>
      <c r="C223" s="359" t="s">
        <v>1478</v>
      </c>
      <c r="D223" s="360" t="s">
        <v>1479</v>
      </c>
      <c r="E223" s="361" t="s">
        <v>1480</v>
      </c>
      <c r="F223" s="394" t="s">
        <v>1199</v>
      </c>
      <c r="G223" s="363">
        <v>3101700507111</v>
      </c>
      <c r="H223" s="364">
        <v>217194</v>
      </c>
      <c r="I223" s="307">
        <f t="shared" si="28"/>
        <v>65</v>
      </c>
      <c r="J223" s="306">
        <f t="shared" si="29"/>
        <v>1</v>
      </c>
      <c r="K223" s="306">
        <f t="shared" si="30"/>
        <v>4</v>
      </c>
      <c r="L223" s="306" t="str">
        <f t="shared" si="31"/>
        <v>65 ปี  1 เดือน  4 วัน</v>
      </c>
      <c r="M223" s="308">
        <f t="shared" si="32"/>
        <v>600</v>
      </c>
      <c r="N223" s="308"/>
      <c r="O223" s="404" t="s">
        <v>1398</v>
      </c>
      <c r="P223" s="80">
        <v>34</v>
      </c>
      <c r="Q223" s="119"/>
      <c r="R223" s="119"/>
      <c r="S223" s="119"/>
      <c r="T223" s="119"/>
      <c r="U223" s="119"/>
      <c r="V223" s="119"/>
      <c r="W223" s="119"/>
      <c r="X223" s="80"/>
    </row>
    <row r="224" spans="1:24" s="57" customFormat="1" ht="21">
      <c r="A224" s="446">
        <v>216</v>
      </c>
      <c r="B224" s="358" t="s">
        <v>31</v>
      </c>
      <c r="C224" s="359" t="s">
        <v>1481</v>
      </c>
      <c r="D224" s="360" t="s">
        <v>1482</v>
      </c>
      <c r="E224" s="361" t="s">
        <v>1483</v>
      </c>
      <c r="F224" s="394" t="s">
        <v>1199</v>
      </c>
      <c r="G224" s="363">
        <v>3101900735656</v>
      </c>
      <c r="H224" s="364">
        <v>217629</v>
      </c>
      <c r="I224" s="307">
        <f t="shared" si="28"/>
        <v>63</v>
      </c>
      <c r="J224" s="306">
        <f t="shared" si="29"/>
        <v>10</v>
      </c>
      <c r="K224" s="306">
        <f t="shared" si="30"/>
        <v>26</v>
      </c>
      <c r="L224" s="306" t="str">
        <f t="shared" si="31"/>
        <v>63 ปี  10 เดือน  26 วัน</v>
      </c>
      <c r="M224" s="308">
        <f t="shared" si="32"/>
        <v>600</v>
      </c>
      <c r="N224" s="308"/>
      <c r="O224" s="404" t="s">
        <v>1398</v>
      </c>
      <c r="P224" s="80">
        <v>35</v>
      </c>
      <c r="Q224" s="119"/>
      <c r="R224" s="119"/>
      <c r="S224" s="119"/>
      <c r="T224" s="119"/>
      <c r="U224" s="119"/>
      <c r="V224" s="119"/>
      <c r="W224" s="119"/>
      <c r="X224" s="80"/>
    </row>
    <row r="225" spans="1:24" s="57" customFormat="1" ht="21">
      <c r="A225" s="446">
        <v>217</v>
      </c>
      <c r="B225" s="358" t="s">
        <v>32</v>
      </c>
      <c r="C225" s="359" t="s">
        <v>1484</v>
      </c>
      <c r="D225" s="360" t="s">
        <v>1485</v>
      </c>
      <c r="E225" s="361" t="s">
        <v>1486</v>
      </c>
      <c r="F225" s="394" t="s">
        <v>1199</v>
      </c>
      <c r="G225" s="363">
        <v>3820500134674</v>
      </c>
      <c r="H225" s="364">
        <v>218053</v>
      </c>
      <c r="I225" s="307">
        <f t="shared" si="28"/>
        <v>62</v>
      </c>
      <c r="J225" s="306">
        <f t="shared" si="29"/>
        <v>8</v>
      </c>
      <c r="K225" s="306">
        <f t="shared" si="30"/>
        <v>29</v>
      </c>
      <c r="L225" s="306" t="str">
        <f t="shared" si="31"/>
        <v>62 ปี  8 เดือน  29 วัน</v>
      </c>
      <c r="M225" s="308">
        <f t="shared" si="32"/>
        <v>600</v>
      </c>
      <c r="N225" s="308"/>
      <c r="O225" s="404" t="s">
        <v>1398</v>
      </c>
      <c r="P225" s="80">
        <v>36</v>
      </c>
      <c r="Q225" s="119"/>
      <c r="R225" s="119"/>
      <c r="S225" s="119"/>
      <c r="T225" s="119"/>
      <c r="U225" s="119"/>
      <c r="V225" s="119"/>
      <c r="W225" s="119"/>
      <c r="X225" s="80"/>
    </row>
    <row r="226" spans="1:24" s="57" customFormat="1" ht="21">
      <c r="A226" s="446">
        <v>218</v>
      </c>
      <c r="B226" s="358" t="s">
        <v>31</v>
      </c>
      <c r="C226" s="359" t="s">
        <v>1487</v>
      </c>
      <c r="D226" s="360" t="s">
        <v>1488</v>
      </c>
      <c r="E226" s="361" t="s">
        <v>1489</v>
      </c>
      <c r="F226" s="394" t="s">
        <v>1199</v>
      </c>
      <c r="G226" s="363">
        <v>3101800248036</v>
      </c>
      <c r="H226" s="364">
        <v>218744</v>
      </c>
      <c r="I226" s="307">
        <f t="shared" si="28"/>
        <v>60</v>
      </c>
      <c r="J226" s="306">
        <f t="shared" si="29"/>
        <v>10</v>
      </c>
      <c r="K226" s="306">
        <f t="shared" si="30"/>
        <v>7</v>
      </c>
      <c r="L226" s="306" t="str">
        <f t="shared" si="31"/>
        <v>60 ปี  10 เดือน  7 วัน</v>
      </c>
      <c r="M226" s="308">
        <f t="shared" si="32"/>
        <v>600</v>
      </c>
      <c r="N226" s="308"/>
      <c r="O226" s="404" t="s">
        <v>1398</v>
      </c>
      <c r="P226" s="80">
        <v>37</v>
      </c>
      <c r="Q226" s="119"/>
      <c r="R226" s="119"/>
      <c r="S226" s="119"/>
      <c r="T226" s="119"/>
      <c r="U226" s="119"/>
      <c r="V226" s="119"/>
      <c r="W226" s="119"/>
      <c r="X226" s="80"/>
    </row>
    <row r="227" spans="1:24" s="57" customFormat="1" ht="21">
      <c r="A227" s="446">
        <v>219</v>
      </c>
      <c r="B227" s="358" t="s">
        <v>30</v>
      </c>
      <c r="C227" s="359" t="s">
        <v>1490</v>
      </c>
      <c r="D227" s="360" t="s">
        <v>1491</v>
      </c>
      <c r="E227" s="361" t="s">
        <v>1492</v>
      </c>
      <c r="F227" s="394" t="s">
        <v>1199</v>
      </c>
      <c r="G227" s="363">
        <v>8102500002076</v>
      </c>
      <c r="H227" s="364">
        <v>218807</v>
      </c>
      <c r="I227" s="307">
        <f t="shared" si="28"/>
        <v>60</v>
      </c>
      <c r="J227" s="306">
        <f t="shared" si="29"/>
        <v>8</v>
      </c>
      <c r="K227" s="306">
        <f t="shared" si="30"/>
        <v>5</v>
      </c>
      <c r="L227" s="306" t="str">
        <f t="shared" si="31"/>
        <v>60 ปี  8 เดือน  5 วัน</v>
      </c>
      <c r="M227" s="308">
        <f t="shared" si="32"/>
        <v>600</v>
      </c>
      <c r="N227" s="308"/>
      <c r="O227" s="404" t="s">
        <v>1398</v>
      </c>
      <c r="P227" s="80">
        <v>38</v>
      </c>
      <c r="Q227" s="119"/>
      <c r="R227" s="119"/>
      <c r="S227" s="119"/>
      <c r="T227" s="119"/>
      <c r="U227" s="119"/>
      <c r="V227" s="119"/>
      <c r="W227" s="119"/>
      <c r="X227" s="80"/>
    </row>
    <row r="228" spans="1:24" s="57" customFormat="1" ht="21">
      <c r="A228" s="446">
        <v>220</v>
      </c>
      <c r="B228" s="358" t="s">
        <v>31</v>
      </c>
      <c r="C228" s="380" t="s">
        <v>620</v>
      </c>
      <c r="D228" s="381" t="s">
        <v>621</v>
      </c>
      <c r="E228" s="361" t="s">
        <v>622</v>
      </c>
      <c r="F228" s="362">
        <v>2</v>
      </c>
      <c r="G228" s="363">
        <v>3730600581649</v>
      </c>
      <c r="H228" s="364">
        <v>215788</v>
      </c>
      <c r="I228" s="307">
        <f aca="true" t="shared" si="33" ref="I228:I258">DATEDIF(H228,$S$20,"Y")</f>
        <v>68</v>
      </c>
      <c r="J228" s="306">
        <f aca="true" t="shared" si="34" ref="J228:J258">DATEDIF(H228,$S$20,"YM")</f>
        <v>11</v>
      </c>
      <c r="K228" s="306">
        <f aca="true" t="shared" si="35" ref="K228:K258">DATEDIF(H228,$S$20,"MD")</f>
        <v>10</v>
      </c>
      <c r="L228" s="306" t="str">
        <f aca="true" t="shared" si="36" ref="L228:L258">I228&amp;" ปี  "&amp;J228&amp;" เดือน  "&amp;K228&amp;" วัน"</f>
        <v>68 ปี  11 เดือน  10 วัน</v>
      </c>
      <c r="M228" s="365">
        <f aca="true" t="shared" si="37" ref="M228:M246">IF(I228&lt;=69,600,IF(I228&lt;=79,700,IF(I228&lt;=89,800,IF(I228&gt;=90,1000))))</f>
        <v>600</v>
      </c>
      <c r="N228" s="407"/>
      <c r="O228" s="408"/>
      <c r="P228" s="80">
        <v>39</v>
      </c>
      <c r="Q228" s="119"/>
      <c r="R228" s="119"/>
      <c r="S228" s="119"/>
      <c r="T228" s="119"/>
      <c r="U228" s="119"/>
      <c r="V228" s="119"/>
      <c r="W228" s="119"/>
      <c r="X228" s="80"/>
    </row>
    <row r="229" spans="1:24" s="57" customFormat="1" ht="21">
      <c r="A229" s="446">
        <v>221</v>
      </c>
      <c r="B229" s="358" t="s">
        <v>30</v>
      </c>
      <c r="C229" s="359" t="s">
        <v>59</v>
      </c>
      <c r="D229" s="360" t="s">
        <v>626</v>
      </c>
      <c r="E229" s="361" t="s">
        <v>61</v>
      </c>
      <c r="F229" s="362">
        <v>2</v>
      </c>
      <c r="G229" s="363">
        <v>3730600218706</v>
      </c>
      <c r="H229" s="364">
        <v>215529</v>
      </c>
      <c r="I229" s="307">
        <f t="shared" si="33"/>
        <v>69</v>
      </c>
      <c r="J229" s="306">
        <f t="shared" si="34"/>
        <v>7</v>
      </c>
      <c r="K229" s="306">
        <f t="shared" si="35"/>
        <v>27</v>
      </c>
      <c r="L229" s="306" t="str">
        <f t="shared" si="36"/>
        <v>69 ปี  7 เดือน  27 วัน</v>
      </c>
      <c r="M229" s="365">
        <f t="shared" si="37"/>
        <v>600</v>
      </c>
      <c r="N229" s="407"/>
      <c r="O229" s="408"/>
      <c r="P229" s="80">
        <v>40</v>
      </c>
      <c r="Q229" s="119"/>
      <c r="R229" s="119"/>
      <c r="S229" s="119"/>
      <c r="T229" s="119"/>
      <c r="U229" s="119"/>
      <c r="V229" s="119"/>
      <c r="W229" s="119"/>
      <c r="X229" s="80"/>
    </row>
    <row r="230" spans="1:24" s="57" customFormat="1" ht="21">
      <c r="A230" s="446">
        <v>222</v>
      </c>
      <c r="B230" s="358" t="s">
        <v>31</v>
      </c>
      <c r="C230" s="359" t="s">
        <v>627</v>
      </c>
      <c r="D230" s="360" t="s">
        <v>616</v>
      </c>
      <c r="E230" s="361" t="s">
        <v>628</v>
      </c>
      <c r="F230" s="362">
        <v>2</v>
      </c>
      <c r="G230" s="363">
        <v>3730600582971</v>
      </c>
      <c r="H230" s="364">
        <v>216065</v>
      </c>
      <c r="I230" s="307">
        <f t="shared" si="33"/>
        <v>68</v>
      </c>
      <c r="J230" s="306">
        <f t="shared" si="34"/>
        <v>2</v>
      </c>
      <c r="K230" s="306">
        <f t="shared" si="35"/>
        <v>6</v>
      </c>
      <c r="L230" s="306" t="str">
        <f t="shared" si="36"/>
        <v>68 ปี  2 เดือน  6 วัน</v>
      </c>
      <c r="M230" s="365">
        <f t="shared" si="37"/>
        <v>600</v>
      </c>
      <c r="N230" s="407"/>
      <c r="O230" s="408"/>
      <c r="P230" s="80">
        <v>41</v>
      </c>
      <c r="Q230" s="119"/>
      <c r="R230" s="119"/>
      <c r="S230" s="119"/>
      <c r="T230" s="119"/>
      <c r="U230" s="119"/>
      <c r="V230" s="119"/>
      <c r="W230" s="119"/>
      <c r="X230" s="80"/>
    </row>
    <row r="231" spans="1:24" s="57" customFormat="1" ht="21">
      <c r="A231" s="446">
        <v>223</v>
      </c>
      <c r="B231" s="358" t="s">
        <v>31</v>
      </c>
      <c r="C231" s="359" t="s">
        <v>56</v>
      </c>
      <c r="D231" s="360" t="s">
        <v>150</v>
      </c>
      <c r="E231" s="361" t="s">
        <v>283</v>
      </c>
      <c r="F231" s="362">
        <v>2</v>
      </c>
      <c r="G231" s="363">
        <v>3730600583935</v>
      </c>
      <c r="H231" s="364">
        <v>215426</v>
      </c>
      <c r="I231" s="307">
        <f t="shared" si="33"/>
        <v>69</v>
      </c>
      <c r="J231" s="306">
        <f t="shared" si="34"/>
        <v>11</v>
      </c>
      <c r="K231" s="306">
        <f t="shared" si="35"/>
        <v>7</v>
      </c>
      <c r="L231" s="306" t="str">
        <f t="shared" si="36"/>
        <v>69 ปี  11 เดือน  7 วัน</v>
      </c>
      <c r="M231" s="365">
        <f t="shared" si="37"/>
        <v>600</v>
      </c>
      <c r="N231" s="407"/>
      <c r="O231" s="408"/>
      <c r="P231" s="80">
        <v>42</v>
      </c>
      <c r="Q231" s="119"/>
      <c r="R231" s="119"/>
      <c r="S231" s="119"/>
      <c r="T231" s="119"/>
      <c r="U231" s="119"/>
      <c r="V231" s="119"/>
      <c r="W231" s="119"/>
      <c r="X231" s="80"/>
    </row>
    <row r="232" spans="1:24" s="57" customFormat="1" ht="23.25" customHeight="1">
      <c r="A232" s="446">
        <v>224</v>
      </c>
      <c r="B232" s="358" t="s">
        <v>30</v>
      </c>
      <c r="C232" s="359" t="s">
        <v>144</v>
      </c>
      <c r="D232" s="360" t="s">
        <v>636</v>
      </c>
      <c r="E232" s="361" t="s">
        <v>637</v>
      </c>
      <c r="F232" s="362">
        <v>2</v>
      </c>
      <c r="G232" s="363">
        <v>3730600584176</v>
      </c>
      <c r="H232" s="364">
        <v>215861</v>
      </c>
      <c r="I232" s="307">
        <f t="shared" si="33"/>
        <v>68</v>
      </c>
      <c r="J232" s="306">
        <f t="shared" si="34"/>
        <v>8</v>
      </c>
      <c r="K232" s="306">
        <f t="shared" si="35"/>
        <v>29</v>
      </c>
      <c r="L232" s="306" t="str">
        <f t="shared" si="36"/>
        <v>68 ปี  8 เดือน  29 วัน</v>
      </c>
      <c r="M232" s="365">
        <f t="shared" si="37"/>
        <v>600</v>
      </c>
      <c r="N232" s="407"/>
      <c r="O232" s="408"/>
      <c r="P232" s="80">
        <v>43</v>
      </c>
      <c r="Q232" s="119"/>
      <c r="R232" s="119"/>
      <c r="S232" s="119"/>
      <c r="T232" s="119"/>
      <c r="U232" s="119"/>
      <c r="V232" s="119"/>
      <c r="W232" s="119"/>
      <c r="X232" s="80"/>
    </row>
    <row r="233" spans="1:24" s="57" customFormat="1" ht="23.25" customHeight="1">
      <c r="A233" s="446">
        <v>225</v>
      </c>
      <c r="B233" s="358" t="s">
        <v>31</v>
      </c>
      <c r="C233" s="359" t="s">
        <v>57</v>
      </c>
      <c r="D233" s="360" t="s">
        <v>638</v>
      </c>
      <c r="E233" s="361" t="s">
        <v>639</v>
      </c>
      <c r="F233" s="362">
        <v>2</v>
      </c>
      <c r="G233" s="363">
        <v>3730600584745</v>
      </c>
      <c r="H233" s="364">
        <v>216226</v>
      </c>
      <c r="I233" s="307">
        <f t="shared" si="33"/>
        <v>67</v>
      </c>
      <c r="J233" s="306">
        <f t="shared" si="34"/>
        <v>8</v>
      </c>
      <c r="K233" s="306">
        <f t="shared" si="35"/>
        <v>29</v>
      </c>
      <c r="L233" s="306" t="str">
        <f t="shared" si="36"/>
        <v>67 ปี  8 เดือน  29 วัน</v>
      </c>
      <c r="M233" s="365">
        <f t="shared" si="37"/>
        <v>600</v>
      </c>
      <c r="N233" s="407"/>
      <c r="O233" s="408"/>
      <c r="P233" s="80">
        <v>44</v>
      </c>
      <c r="Q233" s="119"/>
      <c r="R233" s="119"/>
      <c r="S233" s="119"/>
      <c r="T233" s="119"/>
      <c r="U233" s="119"/>
      <c r="V233" s="119"/>
      <c r="W233" s="119"/>
      <c r="X233" s="80"/>
    </row>
    <row r="234" spans="1:24" s="57" customFormat="1" ht="23.25" customHeight="1">
      <c r="A234" s="446">
        <v>226</v>
      </c>
      <c r="B234" s="358" t="s">
        <v>32</v>
      </c>
      <c r="C234" s="380" t="s">
        <v>640</v>
      </c>
      <c r="D234" s="381" t="s">
        <v>641</v>
      </c>
      <c r="E234" s="361" t="s">
        <v>642</v>
      </c>
      <c r="F234" s="362">
        <v>2</v>
      </c>
      <c r="G234" s="363">
        <v>3730600585334</v>
      </c>
      <c r="H234" s="364">
        <v>215950</v>
      </c>
      <c r="I234" s="307">
        <f t="shared" si="33"/>
        <v>68</v>
      </c>
      <c r="J234" s="306">
        <f t="shared" si="34"/>
        <v>5</v>
      </c>
      <c r="K234" s="306">
        <f t="shared" si="35"/>
        <v>30</v>
      </c>
      <c r="L234" s="306" t="str">
        <f t="shared" si="36"/>
        <v>68 ปี  5 เดือน  30 วัน</v>
      </c>
      <c r="M234" s="365">
        <f t="shared" si="37"/>
        <v>600</v>
      </c>
      <c r="N234" s="407"/>
      <c r="O234" s="408"/>
      <c r="P234" s="80">
        <v>45</v>
      </c>
      <c r="Q234" s="119"/>
      <c r="R234" s="119"/>
      <c r="S234" s="119"/>
      <c r="T234" s="119"/>
      <c r="U234" s="119"/>
      <c r="V234" s="119"/>
      <c r="W234" s="119"/>
      <c r="X234" s="80"/>
    </row>
    <row r="235" spans="1:24" s="57" customFormat="1" ht="23.25" customHeight="1">
      <c r="A235" s="446">
        <v>227</v>
      </c>
      <c r="B235" s="358" t="s">
        <v>30</v>
      </c>
      <c r="C235" s="359" t="s">
        <v>33</v>
      </c>
      <c r="D235" s="360" t="s">
        <v>643</v>
      </c>
      <c r="E235" s="361" t="s">
        <v>72</v>
      </c>
      <c r="F235" s="362">
        <v>2</v>
      </c>
      <c r="G235" s="363">
        <v>3730600630607</v>
      </c>
      <c r="H235" s="364">
        <v>216226</v>
      </c>
      <c r="I235" s="307">
        <f t="shared" si="33"/>
        <v>67</v>
      </c>
      <c r="J235" s="306">
        <f t="shared" si="34"/>
        <v>8</v>
      </c>
      <c r="K235" s="306">
        <f t="shared" si="35"/>
        <v>29</v>
      </c>
      <c r="L235" s="306" t="str">
        <f t="shared" si="36"/>
        <v>67 ปี  8 เดือน  29 วัน</v>
      </c>
      <c r="M235" s="365">
        <f t="shared" si="37"/>
        <v>600</v>
      </c>
      <c r="N235" s="407"/>
      <c r="O235" s="408"/>
      <c r="P235" s="80">
        <v>46</v>
      </c>
      <c r="Q235" s="119"/>
      <c r="R235" s="119"/>
      <c r="S235" s="119"/>
      <c r="T235" s="119"/>
      <c r="U235" s="119"/>
      <c r="V235" s="119"/>
      <c r="W235" s="119"/>
      <c r="X235" s="80"/>
    </row>
    <row r="236" spans="1:24" s="57" customFormat="1" ht="23.25" customHeight="1">
      <c r="A236" s="446">
        <v>228</v>
      </c>
      <c r="B236" s="358" t="s">
        <v>32</v>
      </c>
      <c r="C236" s="359" t="s">
        <v>644</v>
      </c>
      <c r="D236" s="360" t="s">
        <v>300</v>
      </c>
      <c r="E236" s="361" t="s">
        <v>645</v>
      </c>
      <c r="F236" s="362">
        <v>2</v>
      </c>
      <c r="G236" s="363">
        <v>5730600029292</v>
      </c>
      <c r="H236" s="364">
        <v>215758</v>
      </c>
      <c r="I236" s="307">
        <f t="shared" si="33"/>
        <v>69</v>
      </c>
      <c r="J236" s="306">
        <f t="shared" si="34"/>
        <v>0</v>
      </c>
      <c r="K236" s="306">
        <f t="shared" si="35"/>
        <v>10</v>
      </c>
      <c r="L236" s="306" t="str">
        <f t="shared" si="36"/>
        <v>69 ปี  0 เดือน  10 วัน</v>
      </c>
      <c r="M236" s="365">
        <f t="shared" si="37"/>
        <v>600</v>
      </c>
      <c r="N236" s="308"/>
      <c r="O236" s="408"/>
      <c r="P236" s="80">
        <v>47</v>
      </c>
      <c r="Q236" s="119"/>
      <c r="R236" s="119"/>
      <c r="S236" s="119"/>
      <c r="T236" s="119"/>
      <c r="U236" s="119"/>
      <c r="V236" s="119"/>
      <c r="W236" s="119"/>
      <c r="X236" s="80"/>
    </row>
    <row r="237" spans="1:24" s="57" customFormat="1" ht="23.25" customHeight="1">
      <c r="A237" s="446">
        <v>229</v>
      </c>
      <c r="B237" s="358" t="s">
        <v>31</v>
      </c>
      <c r="C237" s="359" t="s">
        <v>418</v>
      </c>
      <c r="D237" s="360" t="s">
        <v>646</v>
      </c>
      <c r="E237" s="361" t="s">
        <v>647</v>
      </c>
      <c r="F237" s="362">
        <v>2</v>
      </c>
      <c r="G237" s="363">
        <v>3720300247034</v>
      </c>
      <c r="H237" s="364">
        <v>215496</v>
      </c>
      <c r="I237" s="307">
        <f t="shared" si="33"/>
        <v>69</v>
      </c>
      <c r="J237" s="306">
        <f t="shared" si="34"/>
        <v>8</v>
      </c>
      <c r="K237" s="306">
        <f t="shared" si="35"/>
        <v>29</v>
      </c>
      <c r="L237" s="306" t="str">
        <f t="shared" si="36"/>
        <v>69 ปี  8 เดือน  29 วัน</v>
      </c>
      <c r="M237" s="365">
        <f t="shared" si="37"/>
        <v>600</v>
      </c>
      <c r="N237" s="308"/>
      <c r="O237" s="366"/>
      <c r="P237" s="80">
        <v>48</v>
      </c>
      <c r="Q237" s="119"/>
      <c r="R237" s="119"/>
      <c r="S237" s="119"/>
      <c r="T237" s="119"/>
      <c r="U237" s="119"/>
      <c r="V237" s="119"/>
      <c r="W237" s="119"/>
      <c r="X237" s="80"/>
    </row>
    <row r="238" spans="1:24" s="57" customFormat="1" ht="23.25" customHeight="1">
      <c r="A238" s="446">
        <v>230</v>
      </c>
      <c r="B238" s="358" t="s">
        <v>31</v>
      </c>
      <c r="C238" s="359" t="s">
        <v>213</v>
      </c>
      <c r="D238" s="360" t="s">
        <v>651</v>
      </c>
      <c r="E238" s="361" t="s">
        <v>652</v>
      </c>
      <c r="F238" s="362">
        <v>2</v>
      </c>
      <c r="G238" s="363">
        <v>5730500014561</v>
      </c>
      <c r="H238" s="364">
        <v>216226</v>
      </c>
      <c r="I238" s="307">
        <f t="shared" si="33"/>
        <v>67</v>
      </c>
      <c r="J238" s="306">
        <f t="shared" si="34"/>
        <v>8</v>
      </c>
      <c r="K238" s="306">
        <f t="shared" si="35"/>
        <v>29</v>
      </c>
      <c r="L238" s="306" t="str">
        <f t="shared" si="36"/>
        <v>67 ปี  8 เดือน  29 วัน</v>
      </c>
      <c r="M238" s="365">
        <f t="shared" si="37"/>
        <v>600</v>
      </c>
      <c r="N238" s="308"/>
      <c r="O238" s="379"/>
      <c r="P238" s="80">
        <v>49</v>
      </c>
      <c r="Q238" s="119"/>
      <c r="R238" s="119"/>
      <c r="S238" s="119"/>
      <c r="T238" s="119"/>
      <c r="U238" s="119"/>
      <c r="V238" s="119"/>
      <c r="W238" s="119"/>
      <c r="X238" s="80"/>
    </row>
    <row r="239" spans="1:24" s="57" customFormat="1" ht="21">
      <c r="A239" s="446">
        <v>231</v>
      </c>
      <c r="B239" s="358" t="s">
        <v>31</v>
      </c>
      <c r="C239" s="359" t="s">
        <v>653</v>
      </c>
      <c r="D239" s="360" t="s">
        <v>654</v>
      </c>
      <c r="E239" s="361" t="s">
        <v>655</v>
      </c>
      <c r="F239" s="362">
        <v>2</v>
      </c>
      <c r="G239" s="363">
        <v>3740200569552</v>
      </c>
      <c r="H239" s="364">
        <v>215861</v>
      </c>
      <c r="I239" s="307">
        <f t="shared" si="33"/>
        <v>68</v>
      </c>
      <c r="J239" s="306">
        <f t="shared" si="34"/>
        <v>8</v>
      </c>
      <c r="K239" s="306">
        <f t="shared" si="35"/>
        <v>29</v>
      </c>
      <c r="L239" s="306" t="str">
        <f t="shared" si="36"/>
        <v>68 ปี  8 เดือน  29 วัน</v>
      </c>
      <c r="M239" s="365">
        <f t="shared" si="37"/>
        <v>600</v>
      </c>
      <c r="N239" s="308"/>
      <c r="O239" s="409"/>
      <c r="P239" s="80"/>
      <c r="Q239" s="119"/>
      <c r="R239" s="119"/>
      <c r="S239" s="119"/>
      <c r="T239" s="119"/>
      <c r="U239" s="119"/>
      <c r="V239" s="119"/>
      <c r="W239" s="119"/>
      <c r="X239" s="80"/>
    </row>
    <row r="240" spans="1:24" s="57" customFormat="1" ht="21">
      <c r="A240" s="446">
        <v>232</v>
      </c>
      <c r="B240" s="358" t="s">
        <v>30</v>
      </c>
      <c r="C240" s="359" t="s">
        <v>656</v>
      </c>
      <c r="D240" s="360" t="s">
        <v>407</v>
      </c>
      <c r="E240" s="361" t="s">
        <v>118</v>
      </c>
      <c r="F240" s="362">
        <v>2</v>
      </c>
      <c r="G240" s="363">
        <v>3100904442148</v>
      </c>
      <c r="H240" s="364">
        <v>216226</v>
      </c>
      <c r="I240" s="307">
        <f t="shared" si="33"/>
        <v>67</v>
      </c>
      <c r="J240" s="306">
        <f t="shared" si="34"/>
        <v>8</v>
      </c>
      <c r="K240" s="306">
        <f t="shared" si="35"/>
        <v>29</v>
      </c>
      <c r="L240" s="306" t="str">
        <f t="shared" si="36"/>
        <v>67 ปี  8 เดือน  29 วัน</v>
      </c>
      <c r="M240" s="365">
        <f t="shared" si="37"/>
        <v>600</v>
      </c>
      <c r="N240" s="365"/>
      <c r="O240" s="367"/>
      <c r="P240" s="80"/>
      <c r="Q240" s="119"/>
      <c r="R240" s="119"/>
      <c r="S240" s="119"/>
      <c r="T240" s="119"/>
      <c r="U240" s="119"/>
      <c r="V240" s="119"/>
      <c r="W240" s="119"/>
      <c r="X240" s="80"/>
    </row>
    <row r="241" spans="1:24" s="57" customFormat="1" ht="21">
      <c r="A241" s="446">
        <v>233</v>
      </c>
      <c r="B241" s="358" t="s">
        <v>31</v>
      </c>
      <c r="C241" s="359" t="s">
        <v>657</v>
      </c>
      <c r="D241" s="360" t="s">
        <v>658</v>
      </c>
      <c r="E241" s="361" t="s">
        <v>659</v>
      </c>
      <c r="F241" s="362">
        <v>2</v>
      </c>
      <c r="G241" s="363">
        <v>3730600586497</v>
      </c>
      <c r="H241" s="364">
        <v>216065</v>
      </c>
      <c r="I241" s="307">
        <f t="shared" si="33"/>
        <v>68</v>
      </c>
      <c r="J241" s="306">
        <f t="shared" si="34"/>
        <v>2</v>
      </c>
      <c r="K241" s="306">
        <f t="shared" si="35"/>
        <v>6</v>
      </c>
      <c r="L241" s="306" t="str">
        <f t="shared" si="36"/>
        <v>68 ปี  2 เดือน  6 วัน</v>
      </c>
      <c r="M241" s="365">
        <f t="shared" si="37"/>
        <v>600</v>
      </c>
      <c r="N241" s="308"/>
      <c r="O241" s="410"/>
      <c r="P241" s="80"/>
      <c r="Q241" s="119"/>
      <c r="R241" s="119"/>
      <c r="S241" s="119"/>
      <c r="T241" s="119"/>
      <c r="U241" s="119"/>
      <c r="V241" s="119"/>
      <c r="W241" s="119"/>
      <c r="X241" s="80"/>
    </row>
    <row r="242" spans="1:24" s="57" customFormat="1" ht="21">
      <c r="A242" s="446">
        <v>234</v>
      </c>
      <c r="B242" s="358" t="s">
        <v>31</v>
      </c>
      <c r="C242" s="359" t="s">
        <v>347</v>
      </c>
      <c r="D242" s="360" t="s">
        <v>660</v>
      </c>
      <c r="E242" s="361" t="s">
        <v>119</v>
      </c>
      <c r="F242" s="362">
        <v>2</v>
      </c>
      <c r="G242" s="363">
        <v>3730600586683</v>
      </c>
      <c r="H242" s="364">
        <v>216226</v>
      </c>
      <c r="I242" s="307">
        <f t="shared" si="33"/>
        <v>67</v>
      </c>
      <c r="J242" s="306">
        <f t="shared" si="34"/>
        <v>8</v>
      </c>
      <c r="K242" s="306">
        <f t="shared" si="35"/>
        <v>29</v>
      </c>
      <c r="L242" s="306" t="str">
        <f t="shared" si="36"/>
        <v>67 ปี  8 เดือน  29 วัน</v>
      </c>
      <c r="M242" s="365">
        <f t="shared" si="37"/>
        <v>600</v>
      </c>
      <c r="N242" s="308"/>
      <c r="O242" s="409"/>
      <c r="P242" s="80"/>
      <c r="Q242" s="119"/>
      <c r="R242" s="119"/>
      <c r="S242" s="119"/>
      <c r="T242" s="119"/>
      <c r="U242" s="119"/>
      <c r="V242" s="119"/>
      <c r="W242" s="119"/>
      <c r="X242" s="80"/>
    </row>
    <row r="243" spans="1:24" s="57" customFormat="1" ht="21">
      <c r="A243" s="446">
        <v>235</v>
      </c>
      <c r="B243" s="358" t="s">
        <v>30</v>
      </c>
      <c r="C243" s="380" t="s">
        <v>661</v>
      </c>
      <c r="D243" s="381" t="s">
        <v>660</v>
      </c>
      <c r="E243" s="361" t="s">
        <v>119</v>
      </c>
      <c r="F243" s="362">
        <v>2</v>
      </c>
      <c r="G243" s="363">
        <v>3730600586675</v>
      </c>
      <c r="H243" s="364">
        <v>215496</v>
      </c>
      <c r="I243" s="307">
        <f t="shared" si="33"/>
        <v>69</v>
      </c>
      <c r="J243" s="306">
        <f t="shared" si="34"/>
        <v>8</v>
      </c>
      <c r="K243" s="306">
        <f t="shared" si="35"/>
        <v>29</v>
      </c>
      <c r="L243" s="306" t="str">
        <f t="shared" si="36"/>
        <v>69 ปี  8 เดือน  29 วัน</v>
      </c>
      <c r="M243" s="365">
        <f t="shared" si="37"/>
        <v>600</v>
      </c>
      <c r="N243" s="308"/>
      <c r="O243" s="410"/>
      <c r="P243" s="80"/>
      <c r="Q243" s="119"/>
      <c r="R243" s="119"/>
      <c r="S243" s="119"/>
      <c r="T243" s="119"/>
      <c r="U243" s="119"/>
      <c r="V243" s="119"/>
      <c r="W243" s="119"/>
      <c r="X243" s="80"/>
    </row>
    <row r="244" spans="1:24" s="57" customFormat="1" ht="21">
      <c r="A244" s="446">
        <v>236</v>
      </c>
      <c r="B244" s="358" t="s">
        <v>30</v>
      </c>
      <c r="C244" s="380" t="s">
        <v>155</v>
      </c>
      <c r="D244" s="381" t="s">
        <v>616</v>
      </c>
      <c r="E244" s="361" t="s">
        <v>678</v>
      </c>
      <c r="F244" s="362" t="s">
        <v>684</v>
      </c>
      <c r="G244" s="363">
        <v>3730600587418</v>
      </c>
      <c r="H244" s="364">
        <v>216226</v>
      </c>
      <c r="I244" s="307">
        <f t="shared" si="33"/>
        <v>67</v>
      </c>
      <c r="J244" s="306">
        <f t="shared" si="34"/>
        <v>8</v>
      </c>
      <c r="K244" s="306">
        <f t="shared" si="35"/>
        <v>29</v>
      </c>
      <c r="L244" s="306" t="str">
        <f t="shared" si="36"/>
        <v>67 ปี  8 เดือน  29 วัน</v>
      </c>
      <c r="M244" s="365">
        <f t="shared" si="37"/>
        <v>600</v>
      </c>
      <c r="N244" s="308"/>
      <c r="O244" s="409"/>
      <c r="P244" s="80"/>
      <c r="Q244" s="119"/>
      <c r="R244" s="119"/>
      <c r="S244" s="119"/>
      <c r="T244" s="119"/>
      <c r="U244" s="119"/>
      <c r="V244" s="119"/>
      <c r="W244" s="119"/>
      <c r="X244" s="80"/>
    </row>
    <row r="245" spans="1:24" s="57" customFormat="1" ht="21">
      <c r="A245" s="446">
        <v>237</v>
      </c>
      <c r="B245" s="358" t="s">
        <v>32</v>
      </c>
      <c r="C245" s="359" t="s">
        <v>662</v>
      </c>
      <c r="D245" s="360" t="s">
        <v>663</v>
      </c>
      <c r="E245" s="361" t="s">
        <v>129</v>
      </c>
      <c r="F245" s="362">
        <v>2</v>
      </c>
      <c r="G245" s="363">
        <v>3730600587906</v>
      </c>
      <c r="H245" s="364">
        <v>216226</v>
      </c>
      <c r="I245" s="307">
        <f t="shared" si="33"/>
        <v>67</v>
      </c>
      <c r="J245" s="306">
        <f t="shared" si="34"/>
        <v>8</v>
      </c>
      <c r="K245" s="306">
        <f t="shared" si="35"/>
        <v>29</v>
      </c>
      <c r="L245" s="306" t="str">
        <f t="shared" si="36"/>
        <v>67 ปี  8 เดือน  29 วัน</v>
      </c>
      <c r="M245" s="365">
        <f t="shared" si="37"/>
        <v>600</v>
      </c>
      <c r="N245" s="365"/>
      <c r="O245" s="367"/>
      <c r="P245" s="80"/>
      <c r="Q245" s="119"/>
      <c r="R245" s="119"/>
      <c r="S245" s="119"/>
      <c r="T245" s="119"/>
      <c r="U245" s="119"/>
      <c r="V245" s="119"/>
      <c r="W245" s="119"/>
      <c r="X245" s="80"/>
    </row>
    <row r="246" spans="1:24" s="57" customFormat="1" ht="21">
      <c r="A246" s="446">
        <v>238</v>
      </c>
      <c r="B246" s="358" t="s">
        <v>32</v>
      </c>
      <c r="C246" s="359" t="s">
        <v>56</v>
      </c>
      <c r="D246" s="360" t="s">
        <v>663</v>
      </c>
      <c r="E246" s="361" t="s">
        <v>664</v>
      </c>
      <c r="F246" s="362">
        <v>2</v>
      </c>
      <c r="G246" s="363">
        <v>3730600587892</v>
      </c>
      <c r="H246" s="364">
        <v>215861</v>
      </c>
      <c r="I246" s="307">
        <f t="shared" si="33"/>
        <v>68</v>
      </c>
      <c r="J246" s="306">
        <f t="shared" si="34"/>
        <v>8</v>
      </c>
      <c r="K246" s="306">
        <f t="shared" si="35"/>
        <v>29</v>
      </c>
      <c r="L246" s="306" t="str">
        <f t="shared" si="36"/>
        <v>68 ปี  8 เดือน  29 วัน</v>
      </c>
      <c r="M246" s="365">
        <f t="shared" si="37"/>
        <v>600</v>
      </c>
      <c r="N246" s="308"/>
      <c r="O246" s="410"/>
      <c r="P246" s="80"/>
      <c r="Q246" s="119"/>
      <c r="R246" s="119"/>
      <c r="S246" s="119"/>
      <c r="T246" s="119"/>
      <c r="U246" s="119"/>
      <c r="V246" s="119"/>
      <c r="W246" s="119"/>
      <c r="X246" s="80"/>
    </row>
    <row r="247" spans="1:24" s="57" customFormat="1" ht="21">
      <c r="A247" s="446">
        <v>239</v>
      </c>
      <c r="B247" s="411" t="s">
        <v>32</v>
      </c>
      <c r="C247" s="412" t="s">
        <v>250</v>
      </c>
      <c r="D247" s="413" t="s">
        <v>666</v>
      </c>
      <c r="E247" s="414" t="s">
        <v>667</v>
      </c>
      <c r="F247" s="415">
        <v>2</v>
      </c>
      <c r="G247" s="416">
        <v>3730600598843</v>
      </c>
      <c r="H247" s="417">
        <v>216095</v>
      </c>
      <c r="I247" s="418">
        <f t="shared" si="33"/>
        <v>68</v>
      </c>
      <c r="J247" s="419">
        <f t="shared" si="34"/>
        <v>1</v>
      </c>
      <c r="K247" s="419">
        <f t="shared" si="35"/>
        <v>7</v>
      </c>
      <c r="L247" s="419" t="str">
        <f t="shared" si="36"/>
        <v>68 ปี  1 เดือน  7 วัน</v>
      </c>
      <c r="M247" s="420">
        <f aca="true" t="shared" si="38" ref="M247:M272">IF(I247&lt;=69,600,IF(I247&lt;=79,700,IF(I247&lt;=89,800,IF(I247&gt;=90,1000))))</f>
        <v>600</v>
      </c>
      <c r="N247" s="421"/>
      <c r="O247" s="410" t="s">
        <v>1539</v>
      </c>
      <c r="P247" s="80"/>
      <c r="Q247" s="119"/>
      <c r="R247" s="119"/>
      <c r="S247" s="119"/>
      <c r="T247" s="119"/>
      <c r="U247" s="119"/>
      <c r="V247" s="119"/>
      <c r="W247" s="119"/>
      <c r="X247" s="80"/>
    </row>
    <row r="248" spans="1:24" s="57" customFormat="1" ht="21">
      <c r="A248" s="446">
        <v>240</v>
      </c>
      <c r="B248" s="358" t="s">
        <v>32</v>
      </c>
      <c r="C248" s="359" t="s">
        <v>668</v>
      </c>
      <c r="D248" s="360" t="s">
        <v>669</v>
      </c>
      <c r="E248" s="361" t="s">
        <v>108</v>
      </c>
      <c r="F248" s="362">
        <v>2</v>
      </c>
      <c r="G248" s="363">
        <v>3101600602057</v>
      </c>
      <c r="H248" s="364">
        <v>216296</v>
      </c>
      <c r="I248" s="422">
        <f t="shared" si="33"/>
        <v>67</v>
      </c>
      <c r="J248" s="423">
        <f t="shared" si="34"/>
        <v>6</v>
      </c>
      <c r="K248" s="423">
        <f t="shared" si="35"/>
        <v>19</v>
      </c>
      <c r="L248" s="423" t="str">
        <f t="shared" si="36"/>
        <v>67 ปี  6 เดือน  19 วัน</v>
      </c>
      <c r="M248" s="365">
        <f t="shared" si="38"/>
        <v>600</v>
      </c>
      <c r="N248" s="308"/>
      <c r="O248" s="409"/>
      <c r="P248" s="80"/>
      <c r="Q248" s="119"/>
      <c r="R248" s="119"/>
      <c r="S248" s="119"/>
      <c r="T248" s="119"/>
      <c r="U248" s="119"/>
      <c r="V248" s="119"/>
      <c r="W248" s="119"/>
      <c r="X248" s="80"/>
    </row>
    <row r="249" spans="1:24" s="57" customFormat="1" ht="21">
      <c r="A249" s="446">
        <v>241</v>
      </c>
      <c r="B249" s="358" t="s">
        <v>31</v>
      </c>
      <c r="C249" s="382" t="s">
        <v>672</v>
      </c>
      <c r="D249" s="383" t="s">
        <v>673</v>
      </c>
      <c r="E249" s="361" t="s">
        <v>350</v>
      </c>
      <c r="F249" s="362">
        <v>2</v>
      </c>
      <c r="G249" s="363">
        <v>3730600581771</v>
      </c>
      <c r="H249" s="364">
        <v>216371</v>
      </c>
      <c r="I249" s="422">
        <f t="shared" si="33"/>
        <v>67</v>
      </c>
      <c r="J249" s="423">
        <f t="shared" si="34"/>
        <v>4</v>
      </c>
      <c r="K249" s="423">
        <f t="shared" si="35"/>
        <v>5</v>
      </c>
      <c r="L249" s="423" t="str">
        <f t="shared" si="36"/>
        <v>67 ปี  4 เดือน  5 วัน</v>
      </c>
      <c r="M249" s="365">
        <f t="shared" si="38"/>
        <v>600</v>
      </c>
      <c r="N249" s="308"/>
      <c r="O249" s="379"/>
      <c r="P249" s="80"/>
      <c r="Q249" s="119"/>
      <c r="R249" s="119"/>
      <c r="S249" s="119"/>
      <c r="T249" s="119"/>
      <c r="U249" s="119"/>
      <c r="V249" s="119"/>
      <c r="W249" s="119"/>
      <c r="X249" s="80"/>
    </row>
    <row r="250" spans="1:24" s="57" customFormat="1" ht="21">
      <c r="A250" s="446">
        <v>242</v>
      </c>
      <c r="B250" s="358" t="s">
        <v>30</v>
      </c>
      <c r="C250" s="359" t="s">
        <v>674</v>
      </c>
      <c r="D250" s="360" t="s">
        <v>675</v>
      </c>
      <c r="E250" s="361" t="s">
        <v>99</v>
      </c>
      <c r="F250" s="362">
        <v>2</v>
      </c>
      <c r="G250" s="363">
        <v>3730600581959</v>
      </c>
      <c r="H250" s="364">
        <v>216861</v>
      </c>
      <c r="I250" s="422">
        <f t="shared" si="33"/>
        <v>66</v>
      </c>
      <c r="J250" s="423">
        <f t="shared" si="34"/>
        <v>0</v>
      </c>
      <c r="K250" s="423">
        <f t="shared" si="35"/>
        <v>3</v>
      </c>
      <c r="L250" s="423" t="str">
        <f t="shared" si="36"/>
        <v>66 ปี  0 เดือน  3 วัน</v>
      </c>
      <c r="M250" s="365">
        <f t="shared" si="38"/>
        <v>600</v>
      </c>
      <c r="N250" s="308"/>
      <c r="O250" s="409"/>
      <c r="P250" s="80"/>
      <c r="Q250" s="119"/>
      <c r="R250" s="119"/>
      <c r="S250" s="119"/>
      <c r="T250" s="119"/>
      <c r="U250" s="119"/>
      <c r="V250" s="119"/>
      <c r="W250" s="119"/>
      <c r="X250" s="80"/>
    </row>
    <row r="251" spans="1:24" s="57" customFormat="1" ht="21">
      <c r="A251" s="446">
        <v>243</v>
      </c>
      <c r="B251" s="358" t="s">
        <v>31</v>
      </c>
      <c r="C251" s="359" t="s">
        <v>206</v>
      </c>
      <c r="D251" s="360" t="s">
        <v>618</v>
      </c>
      <c r="E251" s="361" t="s">
        <v>676</v>
      </c>
      <c r="F251" s="362">
        <v>2</v>
      </c>
      <c r="G251" s="363">
        <v>3730600584001</v>
      </c>
      <c r="H251" s="364">
        <v>216592</v>
      </c>
      <c r="I251" s="422">
        <f t="shared" si="33"/>
        <v>66</v>
      </c>
      <c r="J251" s="423">
        <f t="shared" si="34"/>
        <v>8</v>
      </c>
      <c r="K251" s="423">
        <f t="shared" si="35"/>
        <v>29</v>
      </c>
      <c r="L251" s="423" t="str">
        <f t="shared" si="36"/>
        <v>66 ปี  8 เดือน  29 วัน</v>
      </c>
      <c r="M251" s="365">
        <f t="shared" si="38"/>
        <v>600</v>
      </c>
      <c r="N251" s="308"/>
      <c r="O251" s="410"/>
      <c r="P251" s="80"/>
      <c r="Q251" s="119"/>
      <c r="R251" s="119"/>
      <c r="S251" s="119"/>
      <c r="T251" s="119"/>
      <c r="U251" s="119"/>
      <c r="V251" s="119"/>
      <c r="W251" s="119"/>
      <c r="X251" s="80"/>
    </row>
    <row r="252" spans="1:24" s="57" customFormat="1" ht="21">
      <c r="A252" s="446">
        <v>244</v>
      </c>
      <c r="B252" s="358" t="s">
        <v>31</v>
      </c>
      <c r="C252" s="359" t="s">
        <v>677</v>
      </c>
      <c r="D252" s="360" t="s">
        <v>407</v>
      </c>
      <c r="E252" s="361" t="s">
        <v>118</v>
      </c>
      <c r="F252" s="362">
        <v>2</v>
      </c>
      <c r="G252" s="363">
        <v>3100904442130</v>
      </c>
      <c r="H252" s="364">
        <v>216573</v>
      </c>
      <c r="I252" s="422">
        <f t="shared" si="33"/>
        <v>66</v>
      </c>
      <c r="J252" s="423">
        <f t="shared" si="34"/>
        <v>9</v>
      </c>
      <c r="K252" s="423">
        <f t="shared" si="35"/>
        <v>17</v>
      </c>
      <c r="L252" s="423" t="str">
        <f t="shared" si="36"/>
        <v>66 ปี  9 เดือน  17 วัน</v>
      </c>
      <c r="M252" s="365">
        <f t="shared" si="38"/>
        <v>600</v>
      </c>
      <c r="N252" s="308"/>
      <c r="O252" s="379"/>
      <c r="P252" s="80"/>
      <c r="Q252" s="119"/>
      <c r="R252" s="119"/>
      <c r="S252" s="119"/>
      <c r="T252" s="119"/>
      <c r="U252" s="119"/>
      <c r="V252" s="119"/>
      <c r="W252" s="119"/>
      <c r="X252" s="80"/>
    </row>
    <row r="253" spans="1:24" s="57" customFormat="1" ht="21">
      <c r="A253" s="446">
        <v>245</v>
      </c>
      <c r="B253" s="358" t="s">
        <v>31</v>
      </c>
      <c r="C253" s="382" t="s">
        <v>202</v>
      </c>
      <c r="D253" s="383" t="s">
        <v>616</v>
      </c>
      <c r="E253" s="361" t="s">
        <v>678</v>
      </c>
      <c r="F253" s="362">
        <v>2</v>
      </c>
      <c r="G253" s="363">
        <v>3730600587540</v>
      </c>
      <c r="H253" s="364">
        <v>216592</v>
      </c>
      <c r="I253" s="422">
        <f t="shared" si="33"/>
        <v>66</v>
      </c>
      <c r="J253" s="423">
        <f t="shared" si="34"/>
        <v>8</v>
      </c>
      <c r="K253" s="423">
        <f t="shared" si="35"/>
        <v>29</v>
      </c>
      <c r="L253" s="423" t="str">
        <f t="shared" si="36"/>
        <v>66 ปี  8 เดือน  29 วัน</v>
      </c>
      <c r="M253" s="365">
        <f t="shared" si="38"/>
        <v>600</v>
      </c>
      <c r="N253" s="308"/>
      <c r="O253" s="379"/>
      <c r="P253" s="80"/>
      <c r="Q253" s="119"/>
      <c r="R253" s="119"/>
      <c r="S253" s="119"/>
      <c r="T253" s="119"/>
      <c r="U253" s="119"/>
      <c r="V253" s="119"/>
      <c r="W253" s="119"/>
      <c r="X253" s="80"/>
    </row>
    <row r="254" spans="1:24" s="57" customFormat="1" ht="21">
      <c r="A254" s="446">
        <v>246</v>
      </c>
      <c r="B254" s="358" t="s">
        <v>30</v>
      </c>
      <c r="C254" s="359" t="s">
        <v>679</v>
      </c>
      <c r="D254" s="360" t="s">
        <v>56</v>
      </c>
      <c r="E254" s="361" t="s">
        <v>253</v>
      </c>
      <c r="F254" s="362">
        <v>2</v>
      </c>
      <c r="G254" s="363">
        <v>3730600589402</v>
      </c>
      <c r="H254" s="364">
        <v>216592</v>
      </c>
      <c r="I254" s="422">
        <f t="shared" si="33"/>
        <v>66</v>
      </c>
      <c r="J254" s="423">
        <f t="shared" si="34"/>
        <v>8</v>
      </c>
      <c r="K254" s="423">
        <f t="shared" si="35"/>
        <v>29</v>
      </c>
      <c r="L254" s="423" t="str">
        <f t="shared" si="36"/>
        <v>66 ปี  8 เดือน  29 วัน</v>
      </c>
      <c r="M254" s="365">
        <f t="shared" si="38"/>
        <v>600</v>
      </c>
      <c r="N254" s="384"/>
      <c r="O254" s="393"/>
      <c r="P254" s="80"/>
      <c r="Q254" s="119"/>
      <c r="R254" s="119"/>
      <c r="S254" s="119"/>
      <c r="T254" s="119"/>
      <c r="U254" s="119"/>
      <c r="V254" s="119"/>
      <c r="W254" s="119"/>
      <c r="X254" s="80"/>
    </row>
    <row r="255" spans="1:24" s="57" customFormat="1" ht="21">
      <c r="A255" s="446">
        <v>247</v>
      </c>
      <c r="B255" s="358" t="s">
        <v>30</v>
      </c>
      <c r="C255" s="359" t="s">
        <v>45</v>
      </c>
      <c r="D255" s="360" t="s">
        <v>636</v>
      </c>
      <c r="E255" s="361" t="s">
        <v>680</v>
      </c>
      <c r="F255" s="362">
        <v>2</v>
      </c>
      <c r="G255" s="363">
        <v>3730600589470</v>
      </c>
      <c r="H255" s="364">
        <v>216592</v>
      </c>
      <c r="I255" s="422">
        <f t="shared" si="33"/>
        <v>66</v>
      </c>
      <c r="J255" s="423">
        <f t="shared" si="34"/>
        <v>8</v>
      </c>
      <c r="K255" s="423">
        <f t="shared" si="35"/>
        <v>29</v>
      </c>
      <c r="L255" s="423" t="str">
        <f t="shared" si="36"/>
        <v>66 ปี  8 เดือน  29 วัน</v>
      </c>
      <c r="M255" s="365">
        <f t="shared" si="38"/>
        <v>600</v>
      </c>
      <c r="N255" s="308"/>
      <c r="O255" s="379"/>
      <c r="P255" s="80"/>
      <c r="Q255" s="119"/>
      <c r="R255" s="119"/>
      <c r="S255" s="119"/>
      <c r="T255" s="119"/>
      <c r="U255" s="119"/>
      <c r="V255" s="119"/>
      <c r="W255" s="119"/>
      <c r="X255" s="80"/>
    </row>
    <row r="256" spans="1:24" s="57" customFormat="1" ht="21">
      <c r="A256" s="446">
        <v>248</v>
      </c>
      <c r="B256" s="358" t="s">
        <v>32</v>
      </c>
      <c r="C256" s="359" t="s">
        <v>215</v>
      </c>
      <c r="D256" s="360" t="s">
        <v>681</v>
      </c>
      <c r="E256" s="361" t="s">
        <v>410</v>
      </c>
      <c r="F256" s="362">
        <v>2</v>
      </c>
      <c r="G256" s="363">
        <v>3730600583650</v>
      </c>
      <c r="H256" s="364">
        <v>216893</v>
      </c>
      <c r="I256" s="422">
        <f t="shared" si="33"/>
        <v>65</v>
      </c>
      <c r="J256" s="423">
        <f t="shared" si="34"/>
        <v>11</v>
      </c>
      <c r="K256" s="423">
        <f t="shared" si="35"/>
        <v>1</v>
      </c>
      <c r="L256" s="423" t="str">
        <f t="shared" si="36"/>
        <v>65 ปี  11 เดือน  1 วัน</v>
      </c>
      <c r="M256" s="365">
        <f t="shared" si="38"/>
        <v>600</v>
      </c>
      <c r="N256" s="365"/>
      <c r="O256" s="379"/>
      <c r="P256" s="80"/>
      <c r="Q256" s="119"/>
      <c r="R256" s="119"/>
      <c r="S256" s="119"/>
      <c r="T256" s="119"/>
      <c r="U256" s="119"/>
      <c r="V256" s="119"/>
      <c r="W256" s="119"/>
      <c r="X256" s="80"/>
    </row>
    <row r="257" spans="1:24" s="57" customFormat="1" ht="21">
      <c r="A257" s="446">
        <v>249</v>
      </c>
      <c r="B257" s="358" t="s">
        <v>31</v>
      </c>
      <c r="C257" s="359" t="s">
        <v>49</v>
      </c>
      <c r="D257" s="360" t="s">
        <v>682</v>
      </c>
      <c r="E257" s="361" t="s">
        <v>683</v>
      </c>
      <c r="F257" s="362">
        <v>2</v>
      </c>
      <c r="G257" s="363">
        <v>3730600591130</v>
      </c>
      <c r="H257" s="364">
        <v>216957</v>
      </c>
      <c r="I257" s="422">
        <f t="shared" si="33"/>
        <v>65</v>
      </c>
      <c r="J257" s="423">
        <f t="shared" si="34"/>
        <v>8</v>
      </c>
      <c r="K257" s="423">
        <f t="shared" si="35"/>
        <v>29</v>
      </c>
      <c r="L257" s="423" t="str">
        <f t="shared" si="36"/>
        <v>65 ปี  8 เดือน  29 วัน</v>
      </c>
      <c r="M257" s="365">
        <f t="shared" si="38"/>
        <v>600</v>
      </c>
      <c r="N257" s="365"/>
      <c r="O257" s="410"/>
      <c r="P257" s="80"/>
      <c r="Q257" s="119"/>
      <c r="R257" s="119"/>
      <c r="S257" s="119"/>
      <c r="T257" s="119"/>
      <c r="U257" s="119"/>
      <c r="V257" s="119"/>
      <c r="W257" s="119"/>
      <c r="X257" s="80"/>
    </row>
    <row r="258" spans="1:24" s="57" customFormat="1" ht="21">
      <c r="A258" s="446">
        <v>250</v>
      </c>
      <c r="B258" s="358" t="s">
        <v>30</v>
      </c>
      <c r="C258" s="382" t="s">
        <v>685</v>
      </c>
      <c r="D258" s="383" t="s">
        <v>618</v>
      </c>
      <c r="E258" s="361" t="s">
        <v>686</v>
      </c>
      <c r="F258" s="362">
        <v>2</v>
      </c>
      <c r="G258" s="363">
        <v>3730600583994</v>
      </c>
      <c r="H258" s="364">
        <v>216958</v>
      </c>
      <c r="I258" s="422">
        <f t="shared" si="33"/>
        <v>65</v>
      </c>
      <c r="J258" s="423">
        <f t="shared" si="34"/>
        <v>8</v>
      </c>
      <c r="K258" s="423">
        <f t="shared" si="35"/>
        <v>28</v>
      </c>
      <c r="L258" s="423" t="str">
        <f t="shared" si="36"/>
        <v>65 ปี  8 เดือน  28 วัน</v>
      </c>
      <c r="M258" s="365">
        <f t="shared" si="38"/>
        <v>600</v>
      </c>
      <c r="N258" s="308"/>
      <c r="O258" s="409"/>
      <c r="P258" s="80"/>
      <c r="Q258" s="119"/>
      <c r="R258" s="119"/>
      <c r="S258" s="119"/>
      <c r="T258" s="119"/>
      <c r="U258" s="119"/>
      <c r="V258" s="119"/>
      <c r="W258" s="119"/>
      <c r="X258" s="80"/>
    </row>
    <row r="259" spans="1:24" s="57" customFormat="1" ht="21">
      <c r="A259" s="446">
        <v>251</v>
      </c>
      <c r="B259" s="358" t="s">
        <v>31</v>
      </c>
      <c r="C259" s="359" t="s">
        <v>141</v>
      </c>
      <c r="D259" s="360" t="s">
        <v>687</v>
      </c>
      <c r="E259" s="361" t="s">
        <v>688</v>
      </c>
      <c r="F259" s="362">
        <v>2</v>
      </c>
      <c r="G259" s="363">
        <v>3730600584931</v>
      </c>
      <c r="H259" s="364">
        <v>217285</v>
      </c>
      <c r="I259" s="422">
        <f aca="true" t="shared" si="39" ref="I259:I285">DATEDIF(H259,$S$20,"Y")</f>
        <v>64</v>
      </c>
      <c r="J259" s="423">
        <f aca="true" t="shared" si="40" ref="J259:J285">DATEDIF(H259,$S$20,"YM")</f>
        <v>10</v>
      </c>
      <c r="K259" s="423">
        <f aca="true" t="shared" si="41" ref="K259:K285">DATEDIF(H259,$S$20,"MD")</f>
        <v>5</v>
      </c>
      <c r="L259" s="423" t="str">
        <f aca="true" t="shared" si="42" ref="L259:L285">I259&amp;" ปี  "&amp;J259&amp;" เดือน  "&amp;K259&amp;" วัน"</f>
        <v>64 ปี  10 เดือน  5 วัน</v>
      </c>
      <c r="M259" s="365">
        <f t="shared" si="38"/>
        <v>600</v>
      </c>
      <c r="N259" s="308"/>
      <c r="O259" s="409"/>
      <c r="P259" s="80"/>
      <c r="Q259" s="119"/>
      <c r="R259" s="119"/>
      <c r="S259" s="119"/>
      <c r="T259" s="119"/>
      <c r="U259" s="119"/>
      <c r="V259" s="119"/>
      <c r="W259" s="119"/>
      <c r="X259" s="80"/>
    </row>
    <row r="260" spans="1:24" s="57" customFormat="1" ht="21">
      <c r="A260" s="446">
        <v>252</v>
      </c>
      <c r="B260" s="358" t="s">
        <v>30</v>
      </c>
      <c r="C260" s="359" t="s">
        <v>1381</v>
      </c>
      <c r="D260" s="360" t="s">
        <v>462</v>
      </c>
      <c r="E260" s="361" t="s">
        <v>633</v>
      </c>
      <c r="F260" s="362">
        <v>2</v>
      </c>
      <c r="G260" s="363">
        <v>3730600599041</v>
      </c>
      <c r="H260" s="364">
        <v>216877</v>
      </c>
      <c r="I260" s="422">
        <f t="shared" si="39"/>
        <v>65</v>
      </c>
      <c r="J260" s="423">
        <f t="shared" si="40"/>
        <v>11</v>
      </c>
      <c r="K260" s="423">
        <f t="shared" si="41"/>
        <v>17</v>
      </c>
      <c r="L260" s="423" t="str">
        <f t="shared" si="42"/>
        <v>65 ปี  11 เดือน  17 วัน</v>
      </c>
      <c r="M260" s="365">
        <f t="shared" si="38"/>
        <v>600</v>
      </c>
      <c r="N260" s="308"/>
      <c r="O260" s="409"/>
      <c r="P260" s="80"/>
      <c r="Q260" s="119"/>
      <c r="R260" s="119"/>
      <c r="S260" s="119"/>
      <c r="T260" s="119"/>
      <c r="U260" s="119"/>
      <c r="V260" s="119"/>
      <c r="W260" s="119"/>
      <c r="X260" s="80"/>
    </row>
    <row r="261" spans="1:24" s="57" customFormat="1" ht="21">
      <c r="A261" s="446">
        <v>253</v>
      </c>
      <c r="B261" s="358" t="s">
        <v>31</v>
      </c>
      <c r="C261" s="359" t="s">
        <v>151</v>
      </c>
      <c r="D261" s="360" t="s">
        <v>614</v>
      </c>
      <c r="E261" s="361" t="s">
        <v>689</v>
      </c>
      <c r="F261" s="362">
        <v>2</v>
      </c>
      <c r="G261" s="363">
        <v>5730601039593</v>
      </c>
      <c r="H261" s="364">
        <v>216226</v>
      </c>
      <c r="I261" s="422">
        <f t="shared" si="39"/>
        <v>67</v>
      </c>
      <c r="J261" s="423">
        <f t="shared" si="40"/>
        <v>8</v>
      </c>
      <c r="K261" s="423">
        <f t="shared" si="41"/>
        <v>29</v>
      </c>
      <c r="L261" s="423" t="str">
        <f t="shared" si="42"/>
        <v>67 ปี  8 เดือน  29 วัน</v>
      </c>
      <c r="M261" s="365">
        <f t="shared" si="38"/>
        <v>600</v>
      </c>
      <c r="N261" s="308"/>
      <c r="O261" s="409"/>
      <c r="P261" s="80"/>
      <c r="Q261" s="119"/>
      <c r="R261" s="119"/>
      <c r="S261" s="119"/>
      <c r="T261" s="119"/>
      <c r="U261" s="119"/>
      <c r="V261" s="119"/>
      <c r="W261" s="119"/>
      <c r="X261" s="80"/>
    </row>
    <row r="262" spans="1:24" s="57" customFormat="1" ht="21">
      <c r="A262" s="446">
        <v>254</v>
      </c>
      <c r="B262" s="358" t="s">
        <v>32</v>
      </c>
      <c r="C262" s="382" t="s">
        <v>227</v>
      </c>
      <c r="D262" s="383" t="s">
        <v>614</v>
      </c>
      <c r="E262" s="361" t="s">
        <v>689</v>
      </c>
      <c r="F262" s="362">
        <v>2</v>
      </c>
      <c r="G262" s="363">
        <v>3730600583226</v>
      </c>
      <c r="H262" s="364">
        <v>217406</v>
      </c>
      <c r="I262" s="422">
        <f t="shared" si="39"/>
        <v>64</v>
      </c>
      <c r="J262" s="423">
        <f t="shared" si="40"/>
        <v>6</v>
      </c>
      <c r="K262" s="423">
        <f t="shared" si="41"/>
        <v>4</v>
      </c>
      <c r="L262" s="423" t="str">
        <f t="shared" si="42"/>
        <v>64 ปี  6 เดือน  4 วัน</v>
      </c>
      <c r="M262" s="365">
        <f t="shared" si="38"/>
        <v>600</v>
      </c>
      <c r="N262" s="308"/>
      <c r="O262" s="410"/>
      <c r="P262" s="80"/>
      <c r="Q262" s="119"/>
      <c r="R262" s="119"/>
      <c r="S262" s="119"/>
      <c r="T262" s="119"/>
      <c r="U262" s="119"/>
      <c r="V262" s="119"/>
      <c r="W262" s="119"/>
      <c r="X262" s="80"/>
    </row>
    <row r="263" spans="1:24" s="57" customFormat="1" ht="21">
      <c r="A263" s="446">
        <v>255</v>
      </c>
      <c r="B263" s="358" t="s">
        <v>30</v>
      </c>
      <c r="C263" s="359" t="s">
        <v>166</v>
      </c>
      <c r="D263" s="360" t="s">
        <v>693</v>
      </c>
      <c r="E263" s="361" t="s">
        <v>234</v>
      </c>
      <c r="F263" s="362">
        <v>2</v>
      </c>
      <c r="G263" s="363">
        <v>3730600588481</v>
      </c>
      <c r="H263" s="364">
        <v>216957</v>
      </c>
      <c r="I263" s="422">
        <f t="shared" si="39"/>
        <v>65</v>
      </c>
      <c r="J263" s="423">
        <f t="shared" si="40"/>
        <v>8</v>
      </c>
      <c r="K263" s="423">
        <f t="shared" si="41"/>
        <v>29</v>
      </c>
      <c r="L263" s="423" t="str">
        <f t="shared" si="42"/>
        <v>65 ปี  8 เดือน  29 วัน</v>
      </c>
      <c r="M263" s="365">
        <f t="shared" si="38"/>
        <v>600</v>
      </c>
      <c r="N263" s="308"/>
      <c r="O263" s="409"/>
      <c r="P263" s="80"/>
      <c r="Q263" s="119"/>
      <c r="R263" s="119"/>
      <c r="S263" s="119"/>
      <c r="T263" s="119"/>
      <c r="U263" s="119"/>
      <c r="V263" s="119"/>
      <c r="W263" s="119"/>
      <c r="X263" s="80"/>
    </row>
    <row r="264" spans="1:24" s="57" customFormat="1" ht="21">
      <c r="A264" s="446">
        <v>256</v>
      </c>
      <c r="B264" s="358" t="s">
        <v>31</v>
      </c>
      <c r="C264" s="380" t="s">
        <v>42</v>
      </c>
      <c r="D264" s="381" t="s">
        <v>693</v>
      </c>
      <c r="E264" s="361" t="s">
        <v>234</v>
      </c>
      <c r="F264" s="362">
        <v>2</v>
      </c>
      <c r="G264" s="363">
        <v>3730600588473</v>
      </c>
      <c r="H264" s="364">
        <v>217477</v>
      </c>
      <c r="I264" s="422">
        <f t="shared" si="39"/>
        <v>64</v>
      </c>
      <c r="J264" s="423">
        <f t="shared" si="40"/>
        <v>3</v>
      </c>
      <c r="K264" s="423">
        <f t="shared" si="41"/>
        <v>25</v>
      </c>
      <c r="L264" s="423" t="str">
        <f t="shared" si="42"/>
        <v>64 ปี  3 เดือน  25 วัน</v>
      </c>
      <c r="M264" s="365">
        <f t="shared" si="38"/>
        <v>600</v>
      </c>
      <c r="N264" s="308"/>
      <c r="O264" s="409"/>
      <c r="P264" s="80"/>
      <c r="Q264" s="119"/>
      <c r="R264" s="119"/>
      <c r="S264" s="119"/>
      <c r="T264" s="119"/>
      <c r="U264" s="119"/>
      <c r="V264" s="119"/>
      <c r="W264" s="119"/>
      <c r="X264" s="80"/>
    </row>
    <row r="265" spans="1:24" s="57" customFormat="1" ht="21">
      <c r="A265" s="446">
        <v>257</v>
      </c>
      <c r="B265" s="358" t="s">
        <v>31</v>
      </c>
      <c r="C265" s="380" t="s">
        <v>694</v>
      </c>
      <c r="D265" s="381" t="s">
        <v>695</v>
      </c>
      <c r="E265" s="361" t="s">
        <v>696</v>
      </c>
      <c r="F265" s="362">
        <v>2</v>
      </c>
      <c r="G265" s="363">
        <v>3730600582131</v>
      </c>
      <c r="H265" s="364">
        <v>217353</v>
      </c>
      <c r="I265" s="422">
        <f t="shared" si="39"/>
        <v>64</v>
      </c>
      <c r="J265" s="423">
        <f t="shared" si="40"/>
        <v>7</v>
      </c>
      <c r="K265" s="423">
        <f t="shared" si="41"/>
        <v>29</v>
      </c>
      <c r="L265" s="423" t="str">
        <f t="shared" si="42"/>
        <v>64 ปี  7 เดือน  29 วัน</v>
      </c>
      <c r="M265" s="365">
        <f t="shared" si="38"/>
        <v>600</v>
      </c>
      <c r="N265" s="308"/>
      <c r="O265" s="379"/>
      <c r="P265" s="80"/>
      <c r="Q265" s="119"/>
      <c r="R265" s="119"/>
      <c r="S265" s="119"/>
      <c r="T265" s="119"/>
      <c r="U265" s="119"/>
      <c r="V265" s="119"/>
      <c r="W265" s="119"/>
      <c r="X265" s="80"/>
    </row>
    <row r="266" spans="1:24" s="57" customFormat="1" ht="21">
      <c r="A266" s="446">
        <v>258</v>
      </c>
      <c r="B266" s="358" t="s">
        <v>30</v>
      </c>
      <c r="C266" s="380" t="s">
        <v>231</v>
      </c>
      <c r="D266" s="381" t="s">
        <v>697</v>
      </c>
      <c r="E266" s="361" t="s">
        <v>121</v>
      </c>
      <c r="F266" s="362">
        <v>2</v>
      </c>
      <c r="G266" s="363">
        <v>3102000232144</v>
      </c>
      <c r="H266" s="364">
        <v>217570</v>
      </c>
      <c r="I266" s="422">
        <f t="shared" si="39"/>
        <v>64</v>
      </c>
      <c r="J266" s="423">
        <f t="shared" si="40"/>
        <v>0</v>
      </c>
      <c r="K266" s="423">
        <f t="shared" si="41"/>
        <v>24</v>
      </c>
      <c r="L266" s="423" t="str">
        <f t="shared" si="42"/>
        <v>64 ปี  0 เดือน  24 วัน</v>
      </c>
      <c r="M266" s="365">
        <f t="shared" si="38"/>
        <v>600</v>
      </c>
      <c r="N266" s="365"/>
      <c r="O266" s="409"/>
      <c r="P266" s="80"/>
      <c r="Q266" s="119"/>
      <c r="R266" s="119"/>
      <c r="S266" s="119"/>
      <c r="T266" s="119"/>
      <c r="U266" s="119"/>
      <c r="V266" s="119"/>
      <c r="W266" s="119"/>
      <c r="X266" s="80"/>
    </row>
    <row r="267" spans="1:24" s="57" customFormat="1" ht="21">
      <c r="A267" s="446">
        <v>259</v>
      </c>
      <c r="B267" s="358" t="s">
        <v>32</v>
      </c>
      <c r="C267" s="359" t="s">
        <v>698</v>
      </c>
      <c r="D267" s="360" t="s">
        <v>699</v>
      </c>
      <c r="E267" s="361" t="s">
        <v>102</v>
      </c>
      <c r="F267" s="362">
        <v>2</v>
      </c>
      <c r="G267" s="363">
        <v>3730600582459</v>
      </c>
      <c r="H267" s="364">
        <v>217322</v>
      </c>
      <c r="I267" s="422">
        <f t="shared" si="39"/>
        <v>64</v>
      </c>
      <c r="J267" s="423">
        <f t="shared" si="40"/>
        <v>8</v>
      </c>
      <c r="K267" s="423">
        <f t="shared" si="41"/>
        <v>29</v>
      </c>
      <c r="L267" s="423" t="str">
        <f t="shared" si="42"/>
        <v>64 ปี  8 เดือน  29 วัน</v>
      </c>
      <c r="M267" s="365">
        <f t="shared" si="38"/>
        <v>600</v>
      </c>
      <c r="N267" s="308"/>
      <c r="O267" s="379"/>
      <c r="P267" s="80"/>
      <c r="Q267" s="119"/>
      <c r="R267" s="119"/>
      <c r="S267" s="119"/>
      <c r="T267" s="119"/>
      <c r="U267" s="119"/>
      <c r="V267" s="119"/>
      <c r="W267" s="119"/>
      <c r="X267" s="80"/>
    </row>
    <row r="268" spans="1:24" s="57" customFormat="1" ht="21">
      <c r="A268" s="446">
        <v>260</v>
      </c>
      <c r="B268" s="358" t="s">
        <v>30</v>
      </c>
      <c r="C268" s="359" t="s">
        <v>51</v>
      </c>
      <c r="D268" s="360" t="s">
        <v>700</v>
      </c>
      <c r="E268" s="361" t="s">
        <v>701</v>
      </c>
      <c r="F268" s="362">
        <v>2</v>
      </c>
      <c r="G268" s="363">
        <v>3730600582106</v>
      </c>
      <c r="H268" s="364">
        <v>217839</v>
      </c>
      <c r="I268" s="422">
        <f t="shared" si="39"/>
        <v>63</v>
      </c>
      <c r="J268" s="423">
        <f t="shared" si="40"/>
        <v>3</v>
      </c>
      <c r="K268" s="423">
        <f t="shared" si="41"/>
        <v>29</v>
      </c>
      <c r="L268" s="423" t="str">
        <f t="shared" si="42"/>
        <v>63 ปี  3 เดือน  29 วัน</v>
      </c>
      <c r="M268" s="365">
        <f t="shared" si="38"/>
        <v>600</v>
      </c>
      <c r="N268" s="308"/>
      <c r="O268" s="409"/>
      <c r="P268" s="80"/>
      <c r="Q268" s="119"/>
      <c r="R268" s="119"/>
      <c r="S268" s="119"/>
      <c r="T268" s="119"/>
      <c r="U268" s="119"/>
      <c r="V268" s="119"/>
      <c r="W268" s="119"/>
      <c r="X268" s="80"/>
    </row>
    <row r="269" spans="1:24" s="57" customFormat="1" ht="21">
      <c r="A269" s="446">
        <v>261</v>
      </c>
      <c r="B269" s="358" t="s">
        <v>30</v>
      </c>
      <c r="C269" s="359" t="s">
        <v>702</v>
      </c>
      <c r="D269" s="360" t="s">
        <v>695</v>
      </c>
      <c r="E269" s="361" t="s">
        <v>696</v>
      </c>
      <c r="F269" s="362">
        <v>2</v>
      </c>
      <c r="G269" s="363">
        <v>3730600582122</v>
      </c>
      <c r="H269" s="364">
        <v>217828</v>
      </c>
      <c r="I269" s="422">
        <f t="shared" si="39"/>
        <v>63</v>
      </c>
      <c r="J269" s="423">
        <f t="shared" si="40"/>
        <v>4</v>
      </c>
      <c r="K269" s="423">
        <f t="shared" si="41"/>
        <v>9</v>
      </c>
      <c r="L269" s="423" t="str">
        <f t="shared" si="42"/>
        <v>63 ปี  4 เดือน  9 วัน</v>
      </c>
      <c r="M269" s="365">
        <f t="shared" si="38"/>
        <v>600</v>
      </c>
      <c r="N269" s="308"/>
      <c r="O269" s="409"/>
      <c r="P269" s="80"/>
      <c r="Q269" s="119"/>
      <c r="R269" s="119"/>
      <c r="S269" s="119"/>
      <c r="T269" s="119"/>
      <c r="U269" s="119"/>
      <c r="V269" s="119"/>
      <c r="W269" s="119"/>
      <c r="X269" s="80"/>
    </row>
    <row r="270" spans="1:24" s="57" customFormat="1" ht="21">
      <c r="A270" s="446">
        <v>262</v>
      </c>
      <c r="B270" s="358" t="s">
        <v>30</v>
      </c>
      <c r="C270" s="359" t="s">
        <v>703</v>
      </c>
      <c r="D270" s="360" t="s">
        <v>673</v>
      </c>
      <c r="E270" s="361" t="s">
        <v>181</v>
      </c>
      <c r="F270" s="362">
        <v>2</v>
      </c>
      <c r="G270" s="363">
        <v>3730600583773</v>
      </c>
      <c r="H270" s="364">
        <v>217707</v>
      </c>
      <c r="I270" s="422">
        <f t="shared" si="39"/>
        <v>63</v>
      </c>
      <c r="J270" s="423">
        <f t="shared" si="40"/>
        <v>8</v>
      </c>
      <c r="K270" s="423">
        <f t="shared" si="41"/>
        <v>9</v>
      </c>
      <c r="L270" s="423" t="str">
        <f t="shared" si="42"/>
        <v>63 ปี  8 เดือน  9 วัน</v>
      </c>
      <c r="M270" s="365">
        <f t="shared" si="38"/>
        <v>600</v>
      </c>
      <c r="N270" s="308"/>
      <c r="O270" s="409"/>
      <c r="P270" s="80"/>
      <c r="Q270" s="119"/>
      <c r="R270" s="119"/>
      <c r="S270" s="119"/>
      <c r="T270" s="119"/>
      <c r="U270" s="119"/>
      <c r="V270" s="119"/>
      <c r="W270" s="119"/>
      <c r="X270" s="80"/>
    </row>
    <row r="271" spans="1:24" s="57" customFormat="1" ht="21">
      <c r="A271" s="446">
        <v>263</v>
      </c>
      <c r="B271" s="411" t="s">
        <v>32</v>
      </c>
      <c r="C271" s="412" t="s">
        <v>216</v>
      </c>
      <c r="D271" s="413" t="s">
        <v>666</v>
      </c>
      <c r="E271" s="414" t="s">
        <v>463</v>
      </c>
      <c r="F271" s="415">
        <v>2</v>
      </c>
      <c r="G271" s="416">
        <v>3730600598851</v>
      </c>
      <c r="H271" s="417">
        <v>217687</v>
      </c>
      <c r="I271" s="418">
        <f t="shared" si="39"/>
        <v>63</v>
      </c>
      <c r="J271" s="419">
        <f t="shared" si="40"/>
        <v>8</v>
      </c>
      <c r="K271" s="419">
        <f t="shared" si="41"/>
        <v>29</v>
      </c>
      <c r="L271" s="419" t="str">
        <f t="shared" si="42"/>
        <v>63 ปี  8 เดือน  29 วัน</v>
      </c>
      <c r="M271" s="420">
        <f t="shared" si="38"/>
        <v>600</v>
      </c>
      <c r="N271" s="421"/>
      <c r="O271" s="409" t="s">
        <v>1537</v>
      </c>
      <c r="P271" s="80"/>
      <c r="Q271" s="119" t="s">
        <v>1538</v>
      </c>
      <c r="R271" s="119"/>
      <c r="S271" s="119"/>
      <c r="T271" s="119"/>
      <c r="U271" s="119"/>
      <c r="V271" s="119"/>
      <c r="W271" s="119"/>
      <c r="X271" s="80"/>
    </row>
    <row r="272" spans="1:24" s="57" customFormat="1" ht="21">
      <c r="A272" s="446">
        <v>264</v>
      </c>
      <c r="B272" s="358" t="s">
        <v>32</v>
      </c>
      <c r="C272" s="359" t="s">
        <v>139</v>
      </c>
      <c r="D272" s="360" t="s">
        <v>704</v>
      </c>
      <c r="E272" s="361" t="s">
        <v>109</v>
      </c>
      <c r="F272" s="362">
        <v>2</v>
      </c>
      <c r="G272" s="363">
        <v>3730600585571</v>
      </c>
      <c r="H272" s="364">
        <v>217687</v>
      </c>
      <c r="I272" s="422">
        <f t="shared" si="39"/>
        <v>63</v>
      </c>
      <c r="J272" s="423">
        <f t="shared" si="40"/>
        <v>8</v>
      </c>
      <c r="K272" s="423">
        <f t="shared" si="41"/>
        <v>29</v>
      </c>
      <c r="L272" s="423" t="str">
        <f t="shared" si="42"/>
        <v>63 ปี  8 เดือน  29 วัน</v>
      </c>
      <c r="M272" s="365">
        <f t="shared" si="38"/>
        <v>600</v>
      </c>
      <c r="N272" s="308"/>
      <c r="O272" s="410"/>
      <c r="P272" s="80"/>
      <c r="Q272" s="119"/>
      <c r="R272" s="119"/>
      <c r="S272" s="119"/>
      <c r="T272" s="119"/>
      <c r="U272" s="119"/>
      <c r="V272" s="119"/>
      <c r="W272" s="119"/>
      <c r="X272" s="80"/>
    </row>
    <row r="273" spans="1:24" s="57" customFormat="1" ht="21">
      <c r="A273" s="446">
        <v>265</v>
      </c>
      <c r="B273" s="358" t="s">
        <v>32</v>
      </c>
      <c r="C273" s="359" t="s">
        <v>250</v>
      </c>
      <c r="D273" s="360" t="s">
        <v>687</v>
      </c>
      <c r="E273" s="361" t="s">
        <v>266</v>
      </c>
      <c r="F273" s="362">
        <v>2</v>
      </c>
      <c r="G273" s="363">
        <v>3730600586063</v>
      </c>
      <c r="H273" s="364">
        <v>216957</v>
      </c>
      <c r="I273" s="422">
        <f t="shared" si="39"/>
        <v>65</v>
      </c>
      <c r="J273" s="423">
        <f t="shared" si="40"/>
        <v>8</v>
      </c>
      <c r="K273" s="423">
        <f t="shared" si="41"/>
        <v>29</v>
      </c>
      <c r="L273" s="423" t="str">
        <f t="shared" si="42"/>
        <v>65 ปี  8 เดือน  29 วัน</v>
      </c>
      <c r="M273" s="365">
        <f aca="true" t="shared" si="43" ref="M273:M285">IF(I273&lt;=69,600,IF(I273&lt;=79,700,IF(I273&lt;=89,800,IF(I273&gt;=90,1000))))</f>
        <v>600</v>
      </c>
      <c r="N273" s="308"/>
      <c r="O273" s="410"/>
      <c r="P273" s="81"/>
      <c r="Q273" s="101"/>
      <c r="W273" s="101"/>
      <c r="X273" s="81"/>
    </row>
    <row r="274" spans="1:24" s="57" customFormat="1" ht="21">
      <c r="A274" s="446">
        <v>266</v>
      </c>
      <c r="B274" s="358" t="s">
        <v>30</v>
      </c>
      <c r="C274" s="382" t="s">
        <v>705</v>
      </c>
      <c r="D274" s="383" t="s">
        <v>706</v>
      </c>
      <c r="E274" s="361" t="s">
        <v>267</v>
      </c>
      <c r="F274" s="362">
        <v>2</v>
      </c>
      <c r="G274" s="363">
        <v>3730600587531</v>
      </c>
      <c r="H274" s="364">
        <v>217758</v>
      </c>
      <c r="I274" s="422">
        <f t="shared" si="39"/>
        <v>63</v>
      </c>
      <c r="J274" s="423">
        <f t="shared" si="40"/>
        <v>6</v>
      </c>
      <c r="K274" s="423">
        <f t="shared" si="41"/>
        <v>18</v>
      </c>
      <c r="L274" s="423" t="str">
        <f t="shared" si="42"/>
        <v>63 ปี  6 เดือน  18 วัน</v>
      </c>
      <c r="M274" s="365">
        <f t="shared" si="43"/>
        <v>600</v>
      </c>
      <c r="N274" s="308"/>
      <c r="O274" s="379"/>
      <c r="P274" s="80"/>
      <c r="Q274" s="101"/>
      <c r="W274" s="101"/>
      <c r="X274" s="80"/>
    </row>
    <row r="275" spans="1:24" ht="21">
      <c r="A275" s="446">
        <v>267</v>
      </c>
      <c r="B275" s="358" t="s">
        <v>32</v>
      </c>
      <c r="C275" s="382" t="s">
        <v>707</v>
      </c>
      <c r="D275" s="383" t="s">
        <v>708</v>
      </c>
      <c r="E275" s="361" t="s">
        <v>61</v>
      </c>
      <c r="F275" s="362">
        <v>2</v>
      </c>
      <c r="G275" s="363">
        <v>3730600582645</v>
      </c>
      <c r="H275" s="364">
        <v>218112</v>
      </c>
      <c r="I275" s="422">
        <f t="shared" si="39"/>
        <v>62</v>
      </c>
      <c r="J275" s="423">
        <f t="shared" si="40"/>
        <v>6</v>
      </c>
      <c r="K275" s="423">
        <f t="shared" si="41"/>
        <v>29</v>
      </c>
      <c r="L275" s="423" t="str">
        <f t="shared" si="42"/>
        <v>62 ปี  6 เดือน  29 วัน</v>
      </c>
      <c r="M275" s="365">
        <f t="shared" si="43"/>
        <v>600</v>
      </c>
      <c r="N275" s="365"/>
      <c r="O275" s="410" t="s">
        <v>550</v>
      </c>
      <c r="P275" s="57"/>
      <c r="X275" s="57"/>
    </row>
    <row r="276" spans="1:24" ht="21">
      <c r="A276" s="446">
        <v>268</v>
      </c>
      <c r="B276" s="358" t="s">
        <v>31</v>
      </c>
      <c r="C276" s="382" t="s">
        <v>50</v>
      </c>
      <c r="D276" s="383" t="s">
        <v>673</v>
      </c>
      <c r="E276" s="361" t="s">
        <v>117</v>
      </c>
      <c r="F276" s="362">
        <v>2</v>
      </c>
      <c r="G276" s="363">
        <v>3730600586501</v>
      </c>
      <c r="H276" s="364">
        <v>218053</v>
      </c>
      <c r="I276" s="422">
        <f t="shared" si="39"/>
        <v>62</v>
      </c>
      <c r="J276" s="423">
        <f t="shared" si="40"/>
        <v>8</v>
      </c>
      <c r="K276" s="423">
        <f t="shared" si="41"/>
        <v>29</v>
      </c>
      <c r="L276" s="423" t="str">
        <f t="shared" si="42"/>
        <v>62 ปี  8 เดือน  29 วัน</v>
      </c>
      <c r="M276" s="365">
        <f t="shared" si="43"/>
        <v>600</v>
      </c>
      <c r="N276" s="365"/>
      <c r="O276" s="410" t="s">
        <v>550</v>
      </c>
      <c r="P276" s="57"/>
      <c r="Q276" s="119"/>
      <c r="W276" s="119"/>
      <c r="X276" s="57"/>
    </row>
    <row r="277" spans="1:24" ht="21">
      <c r="A277" s="446">
        <v>269</v>
      </c>
      <c r="B277" s="358" t="s">
        <v>31</v>
      </c>
      <c r="C277" s="382" t="s">
        <v>709</v>
      </c>
      <c r="D277" s="383" t="s">
        <v>710</v>
      </c>
      <c r="E277" s="361" t="s">
        <v>711</v>
      </c>
      <c r="F277" s="362">
        <v>2</v>
      </c>
      <c r="G277" s="363">
        <v>3730600578052</v>
      </c>
      <c r="H277" s="364">
        <v>218243</v>
      </c>
      <c r="I277" s="422">
        <f t="shared" si="39"/>
        <v>62</v>
      </c>
      <c r="J277" s="423">
        <f t="shared" si="40"/>
        <v>2</v>
      </c>
      <c r="K277" s="423">
        <f t="shared" si="41"/>
        <v>20</v>
      </c>
      <c r="L277" s="423" t="str">
        <f t="shared" si="42"/>
        <v>62 ปี  2 เดือน  20 วัน</v>
      </c>
      <c r="M277" s="365">
        <f t="shared" si="43"/>
        <v>600</v>
      </c>
      <c r="N277" s="308"/>
      <c r="O277" s="410" t="s">
        <v>550</v>
      </c>
      <c r="P277" s="82"/>
      <c r="X277" s="82"/>
    </row>
    <row r="278" spans="1:24" ht="21">
      <c r="A278" s="446">
        <v>270</v>
      </c>
      <c r="B278" s="358" t="s">
        <v>31</v>
      </c>
      <c r="C278" s="382" t="s">
        <v>52</v>
      </c>
      <c r="D278" s="383" t="s">
        <v>56</v>
      </c>
      <c r="E278" s="361" t="s">
        <v>720</v>
      </c>
      <c r="F278" s="362">
        <v>2</v>
      </c>
      <c r="G278" s="363">
        <v>3730600589488</v>
      </c>
      <c r="H278" s="364">
        <v>218053</v>
      </c>
      <c r="I278" s="422">
        <f t="shared" si="39"/>
        <v>62</v>
      </c>
      <c r="J278" s="423">
        <f t="shared" si="40"/>
        <v>8</v>
      </c>
      <c r="K278" s="423">
        <f t="shared" si="41"/>
        <v>29</v>
      </c>
      <c r="L278" s="423" t="str">
        <f t="shared" si="42"/>
        <v>62 ปี  8 เดือน  29 วัน</v>
      </c>
      <c r="M278" s="365">
        <f t="shared" si="43"/>
        <v>600</v>
      </c>
      <c r="N278" s="308"/>
      <c r="O278" s="410" t="s">
        <v>550</v>
      </c>
      <c r="P278" s="82"/>
      <c r="X278" s="82"/>
    </row>
    <row r="279" spans="1:24" ht="21">
      <c r="A279" s="446">
        <v>271</v>
      </c>
      <c r="B279" s="358" t="s">
        <v>32</v>
      </c>
      <c r="C279" s="359" t="s">
        <v>39</v>
      </c>
      <c r="D279" s="360" t="s">
        <v>704</v>
      </c>
      <c r="E279" s="361" t="s">
        <v>109</v>
      </c>
      <c r="F279" s="362">
        <v>2</v>
      </c>
      <c r="G279" s="363">
        <v>3730600585580</v>
      </c>
      <c r="H279" s="364">
        <v>218053</v>
      </c>
      <c r="I279" s="307">
        <f t="shared" si="39"/>
        <v>62</v>
      </c>
      <c r="J279" s="306">
        <f t="shared" si="40"/>
        <v>8</v>
      </c>
      <c r="K279" s="306">
        <f t="shared" si="41"/>
        <v>29</v>
      </c>
      <c r="L279" s="306" t="str">
        <f t="shared" si="42"/>
        <v>62 ปี  8 เดือน  29 วัน</v>
      </c>
      <c r="M279" s="365">
        <f t="shared" si="43"/>
        <v>600</v>
      </c>
      <c r="N279" s="308"/>
      <c r="O279" s="410" t="s">
        <v>550</v>
      </c>
      <c r="P279" s="82"/>
      <c r="X279" s="82"/>
    </row>
    <row r="280" spans="1:24" ht="21">
      <c r="A280" s="446">
        <v>272</v>
      </c>
      <c r="B280" s="358" t="s">
        <v>30</v>
      </c>
      <c r="C280" s="382" t="s">
        <v>712</v>
      </c>
      <c r="D280" s="383" t="s">
        <v>713</v>
      </c>
      <c r="E280" s="361" t="s">
        <v>66</v>
      </c>
      <c r="F280" s="362">
        <v>2</v>
      </c>
      <c r="G280" s="363">
        <v>3102101390896</v>
      </c>
      <c r="H280" s="364">
        <v>218109</v>
      </c>
      <c r="I280" s="422">
        <f t="shared" si="39"/>
        <v>62</v>
      </c>
      <c r="J280" s="423">
        <f t="shared" si="40"/>
        <v>7</v>
      </c>
      <c r="K280" s="423">
        <f t="shared" si="41"/>
        <v>4</v>
      </c>
      <c r="L280" s="423" t="str">
        <f t="shared" si="42"/>
        <v>62 ปี  7 เดือน  4 วัน</v>
      </c>
      <c r="M280" s="365">
        <f t="shared" si="43"/>
        <v>600</v>
      </c>
      <c r="N280" s="308"/>
      <c r="O280" s="410" t="s">
        <v>550</v>
      </c>
      <c r="P280" s="82"/>
      <c r="X280" s="82"/>
    </row>
    <row r="281" spans="1:24" ht="21">
      <c r="A281" s="446">
        <v>273</v>
      </c>
      <c r="B281" s="358" t="s">
        <v>31</v>
      </c>
      <c r="C281" s="382" t="s">
        <v>86</v>
      </c>
      <c r="D281" s="383" t="s">
        <v>673</v>
      </c>
      <c r="E281" s="361" t="s">
        <v>96</v>
      </c>
      <c r="F281" s="362">
        <v>2</v>
      </c>
      <c r="G281" s="363">
        <v>3730600581754</v>
      </c>
      <c r="H281" s="364">
        <v>218261</v>
      </c>
      <c r="I281" s="422">
        <f t="shared" si="39"/>
        <v>62</v>
      </c>
      <c r="J281" s="423">
        <f t="shared" si="40"/>
        <v>2</v>
      </c>
      <c r="K281" s="423">
        <f t="shared" si="41"/>
        <v>2</v>
      </c>
      <c r="L281" s="423" t="str">
        <f t="shared" si="42"/>
        <v>62 ปี  2 เดือน  2 วัน</v>
      </c>
      <c r="M281" s="365">
        <f t="shared" si="43"/>
        <v>600</v>
      </c>
      <c r="N281" s="308"/>
      <c r="O281" s="410" t="s">
        <v>550</v>
      </c>
      <c r="P281" s="82"/>
      <c r="X281" s="82"/>
    </row>
    <row r="282" spans="1:15" ht="21">
      <c r="A282" s="446">
        <v>274</v>
      </c>
      <c r="B282" s="358" t="s">
        <v>30</v>
      </c>
      <c r="C282" s="382" t="s">
        <v>156</v>
      </c>
      <c r="D282" s="383" t="s">
        <v>700</v>
      </c>
      <c r="E282" s="361" t="s">
        <v>714</v>
      </c>
      <c r="F282" s="362">
        <v>2</v>
      </c>
      <c r="G282" s="363">
        <v>3730600590800</v>
      </c>
      <c r="H282" s="364">
        <v>218053</v>
      </c>
      <c r="I282" s="422">
        <f t="shared" si="39"/>
        <v>62</v>
      </c>
      <c r="J282" s="423">
        <f t="shared" si="40"/>
        <v>8</v>
      </c>
      <c r="K282" s="423">
        <f t="shared" si="41"/>
        <v>29</v>
      </c>
      <c r="L282" s="423" t="str">
        <f t="shared" si="42"/>
        <v>62 ปี  8 เดือน  29 วัน</v>
      </c>
      <c r="M282" s="365">
        <f t="shared" si="43"/>
        <v>600</v>
      </c>
      <c r="N282" s="308"/>
      <c r="O282" s="410" t="s">
        <v>550</v>
      </c>
    </row>
    <row r="283" spans="1:15" ht="21">
      <c r="A283" s="446">
        <v>275</v>
      </c>
      <c r="B283" s="358" t="s">
        <v>31</v>
      </c>
      <c r="C283" s="382" t="s">
        <v>715</v>
      </c>
      <c r="D283" s="383" t="s">
        <v>716</v>
      </c>
      <c r="E283" s="361" t="s">
        <v>717</v>
      </c>
      <c r="F283" s="362">
        <v>2</v>
      </c>
      <c r="G283" s="363">
        <v>3360700141962</v>
      </c>
      <c r="H283" s="364">
        <v>217687</v>
      </c>
      <c r="I283" s="422">
        <f t="shared" si="39"/>
        <v>63</v>
      </c>
      <c r="J283" s="423">
        <f t="shared" si="40"/>
        <v>8</v>
      </c>
      <c r="K283" s="423">
        <f t="shared" si="41"/>
        <v>29</v>
      </c>
      <c r="L283" s="423" t="str">
        <f t="shared" si="42"/>
        <v>63 ปี  8 เดือน  29 วัน</v>
      </c>
      <c r="M283" s="365">
        <f t="shared" si="43"/>
        <v>600</v>
      </c>
      <c r="N283" s="308"/>
      <c r="O283" s="410" t="s">
        <v>550</v>
      </c>
    </row>
    <row r="284" spans="1:24" ht="21">
      <c r="A284" s="446">
        <v>276</v>
      </c>
      <c r="B284" s="358" t="s">
        <v>30</v>
      </c>
      <c r="C284" s="359" t="s">
        <v>230</v>
      </c>
      <c r="D284" s="360" t="s">
        <v>718</v>
      </c>
      <c r="E284" s="361" t="s">
        <v>719</v>
      </c>
      <c r="F284" s="362">
        <v>2</v>
      </c>
      <c r="G284" s="363">
        <v>3730600583056</v>
      </c>
      <c r="H284" s="364">
        <v>218053</v>
      </c>
      <c r="I284" s="422">
        <f t="shared" si="39"/>
        <v>62</v>
      </c>
      <c r="J284" s="423">
        <f t="shared" si="40"/>
        <v>8</v>
      </c>
      <c r="K284" s="423">
        <f t="shared" si="41"/>
        <v>29</v>
      </c>
      <c r="L284" s="423" t="str">
        <f t="shared" si="42"/>
        <v>62 ปี  8 เดือน  29 วัน</v>
      </c>
      <c r="M284" s="365">
        <f t="shared" si="43"/>
        <v>600</v>
      </c>
      <c r="N284" s="365"/>
      <c r="O284" s="410" t="s">
        <v>550</v>
      </c>
      <c r="P284" s="57"/>
      <c r="X284" s="57"/>
    </row>
    <row r="285" spans="1:15" ht="21">
      <c r="A285" s="446">
        <v>277</v>
      </c>
      <c r="B285" s="358" t="s">
        <v>31</v>
      </c>
      <c r="C285" s="359" t="s">
        <v>1311</v>
      </c>
      <c r="D285" s="360" t="s">
        <v>675</v>
      </c>
      <c r="E285" s="361" t="s">
        <v>99</v>
      </c>
      <c r="F285" s="362" t="s">
        <v>684</v>
      </c>
      <c r="G285" s="363" t="s">
        <v>1312</v>
      </c>
      <c r="H285" s="364">
        <v>218497</v>
      </c>
      <c r="I285" s="307">
        <f t="shared" si="39"/>
        <v>61</v>
      </c>
      <c r="J285" s="306">
        <f t="shared" si="40"/>
        <v>6</v>
      </c>
      <c r="K285" s="306">
        <f t="shared" si="41"/>
        <v>9</v>
      </c>
      <c r="L285" s="306" t="str">
        <f t="shared" si="42"/>
        <v>61 ปี  6 เดือน  9 วัน</v>
      </c>
      <c r="M285" s="365">
        <f t="shared" si="43"/>
        <v>600</v>
      </c>
      <c r="N285" s="365"/>
      <c r="O285" s="403" t="s">
        <v>1202</v>
      </c>
    </row>
    <row r="286" spans="1:23" ht="21">
      <c r="A286" s="446">
        <v>278</v>
      </c>
      <c r="B286" s="358" t="s">
        <v>30</v>
      </c>
      <c r="C286" s="359" t="s">
        <v>1313</v>
      </c>
      <c r="D286" s="360" t="s">
        <v>1040</v>
      </c>
      <c r="E286" s="361" t="s">
        <v>1041</v>
      </c>
      <c r="F286" s="362" t="s">
        <v>684</v>
      </c>
      <c r="G286" s="363" t="s">
        <v>1314</v>
      </c>
      <c r="H286" s="364">
        <v>218418</v>
      </c>
      <c r="I286" s="307">
        <f aca="true" t="shared" si="44" ref="I286:I297">DATEDIF(H286,$S$20,"Y")</f>
        <v>61</v>
      </c>
      <c r="J286" s="306">
        <f aca="true" t="shared" si="45" ref="J286:J297">DATEDIF(H286,$S$20,"YM")</f>
        <v>8</v>
      </c>
      <c r="K286" s="306">
        <f aca="true" t="shared" si="46" ref="K286:K297">DATEDIF(H286,$S$20,"MD")</f>
        <v>29</v>
      </c>
      <c r="L286" s="306" t="str">
        <f aca="true" t="shared" si="47" ref="L286:L297">I286&amp;" ปี  "&amp;J286&amp;" เดือน  "&amp;K286&amp;" วัน"</f>
        <v>61 ปี  8 เดือน  29 วัน</v>
      </c>
      <c r="M286" s="365">
        <f aca="true" t="shared" si="48" ref="M286:M297">IF(I286&lt;=69,600,IF(I286&lt;=79,700,IF(I286&lt;=89,800,IF(I286&gt;=90,1000))))</f>
        <v>600</v>
      </c>
      <c r="N286" s="365"/>
      <c r="O286" s="403" t="s">
        <v>1202</v>
      </c>
      <c r="Q286" s="119"/>
      <c r="W286" s="119"/>
    </row>
    <row r="287" spans="1:15" ht="21">
      <c r="A287" s="446">
        <v>279</v>
      </c>
      <c r="B287" s="358" t="s">
        <v>30</v>
      </c>
      <c r="C287" s="359" t="s">
        <v>867</v>
      </c>
      <c r="D287" s="360" t="s">
        <v>687</v>
      </c>
      <c r="E287" s="361" t="s">
        <v>104</v>
      </c>
      <c r="F287" s="362" t="s">
        <v>684</v>
      </c>
      <c r="G287" s="363">
        <v>3730600583111</v>
      </c>
      <c r="H287" s="364">
        <v>218988</v>
      </c>
      <c r="I287" s="307">
        <f t="shared" si="44"/>
        <v>60</v>
      </c>
      <c r="J287" s="306">
        <f t="shared" si="45"/>
        <v>2</v>
      </c>
      <c r="K287" s="306">
        <f t="shared" si="46"/>
        <v>5</v>
      </c>
      <c r="L287" s="306" t="str">
        <f t="shared" si="47"/>
        <v>60 ปี  2 เดือน  5 วัน</v>
      </c>
      <c r="M287" s="365">
        <f t="shared" si="48"/>
        <v>600</v>
      </c>
      <c r="N287" s="365"/>
      <c r="O287" s="393" t="s">
        <v>1422</v>
      </c>
    </row>
    <row r="288" spans="1:15" ht="21">
      <c r="A288" s="446">
        <v>280</v>
      </c>
      <c r="B288" s="358" t="s">
        <v>31</v>
      </c>
      <c r="C288" s="359" t="s">
        <v>1493</v>
      </c>
      <c r="D288" s="360" t="s">
        <v>700</v>
      </c>
      <c r="E288" s="361" t="s">
        <v>701</v>
      </c>
      <c r="F288" s="362" t="s">
        <v>684</v>
      </c>
      <c r="G288" s="363">
        <v>3730600875537</v>
      </c>
      <c r="H288" s="364">
        <v>218808</v>
      </c>
      <c r="I288" s="307">
        <f t="shared" si="44"/>
        <v>60</v>
      </c>
      <c r="J288" s="306">
        <f t="shared" si="45"/>
        <v>8</v>
      </c>
      <c r="K288" s="306">
        <f t="shared" si="46"/>
        <v>4</v>
      </c>
      <c r="L288" s="306" t="str">
        <f t="shared" si="47"/>
        <v>60 ปี  8 เดือน  4 วัน</v>
      </c>
      <c r="M288" s="365">
        <f t="shared" si="48"/>
        <v>600</v>
      </c>
      <c r="N288" s="365"/>
      <c r="O288" s="393" t="s">
        <v>1422</v>
      </c>
    </row>
    <row r="289" spans="1:15" ht="21">
      <c r="A289" s="446">
        <v>281</v>
      </c>
      <c r="B289" s="358" t="s">
        <v>31</v>
      </c>
      <c r="C289" s="359" t="s">
        <v>1029</v>
      </c>
      <c r="D289" s="360" t="s">
        <v>56</v>
      </c>
      <c r="E289" s="361" t="s">
        <v>253</v>
      </c>
      <c r="F289" s="362" t="s">
        <v>684</v>
      </c>
      <c r="G289" s="363">
        <v>3730600589411</v>
      </c>
      <c r="H289" s="364">
        <v>218853</v>
      </c>
      <c r="I289" s="307">
        <f t="shared" si="44"/>
        <v>60</v>
      </c>
      <c r="J289" s="306">
        <f t="shared" si="45"/>
        <v>6</v>
      </c>
      <c r="K289" s="306">
        <f t="shared" si="46"/>
        <v>18</v>
      </c>
      <c r="L289" s="306" t="str">
        <f t="shared" si="47"/>
        <v>60 ปี  6 เดือน  18 วัน</v>
      </c>
      <c r="M289" s="365">
        <f t="shared" si="48"/>
        <v>600</v>
      </c>
      <c r="N289" s="365"/>
      <c r="O289" s="393" t="s">
        <v>1422</v>
      </c>
    </row>
    <row r="290" spans="1:15" ht="21">
      <c r="A290" s="446">
        <v>282</v>
      </c>
      <c r="B290" s="358" t="s">
        <v>31</v>
      </c>
      <c r="C290" s="359" t="s">
        <v>380</v>
      </c>
      <c r="D290" s="360" t="s">
        <v>616</v>
      </c>
      <c r="E290" s="361" t="s">
        <v>306</v>
      </c>
      <c r="F290" s="362" t="s">
        <v>684</v>
      </c>
      <c r="G290" s="363">
        <v>3730600585075</v>
      </c>
      <c r="H290" s="364">
        <v>218783</v>
      </c>
      <c r="I290" s="307">
        <f t="shared" si="44"/>
        <v>60</v>
      </c>
      <c r="J290" s="306">
        <f t="shared" si="45"/>
        <v>8</v>
      </c>
      <c r="K290" s="306">
        <f t="shared" si="46"/>
        <v>29</v>
      </c>
      <c r="L290" s="306" t="str">
        <f t="shared" si="47"/>
        <v>60 ปี  8 เดือน  29 วัน</v>
      </c>
      <c r="M290" s="365">
        <f t="shared" si="48"/>
        <v>600</v>
      </c>
      <c r="N290" s="365"/>
      <c r="O290" s="393" t="s">
        <v>1422</v>
      </c>
    </row>
    <row r="291" spans="1:24" s="57" customFormat="1" ht="21">
      <c r="A291" s="446">
        <v>283</v>
      </c>
      <c r="B291" s="358" t="s">
        <v>30</v>
      </c>
      <c r="C291" s="359" t="s">
        <v>925</v>
      </c>
      <c r="D291" s="360" t="s">
        <v>616</v>
      </c>
      <c r="E291" s="361" t="s">
        <v>306</v>
      </c>
      <c r="F291" s="362" t="s">
        <v>684</v>
      </c>
      <c r="G291" s="363">
        <v>3730600587426</v>
      </c>
      <c r="H291" s="364">
        <v>218739</v>
      </c>
      <c r="I291" s="307">
        <f t="shared" si="44"/>
        <v>60</v>
      </c>
      <c r="J291" s="306">
        <f t="shared" si="45"/>
        <v>10</v>
      </c>
      <c r="K291" s="306">
        <f t="shared" si="46"/>
        <v>12</v>
      </c>
      <c r="L291" s="306" t="str">
        <f t="shared" si="47"/>
        <v>60 ปี  10 เดือน  12 วัน</v>
      </c>
      <c r="M291" s="365">
        <f t="shared" si="48"/>
        <v>600</v>
      </c>
      <c r="N291" s="365"/>
      <c r="O291" s="393" t="s">
        <v>1422</v>
      </c>
      <c r="P291" s="42"/>
      <c r="Q291" s="101"/>
      <c r="W291" s="101"/>
      <c r="X291" s="42"/>
    </row>
    <row r="292" spans="1:24" s="57" customFormat="1" ht="21">
      <c r="A292" s="446">
        <v>284</v>
      </c>
      <c r="B292" s="358" t="s">
        <v>30</v>
      </c>
      <c r="C292" s="359" t="s">
        <v>144</v>
      </c>
      <c r="D292" s="360" t="s">
        <v>870</v>
      </c>
      <c r="E292" s="361" t="s">
        <v>372</v>
      </c>
      <c r="F292" s="362" t="s">
        <v>684</v>
      </c>
      <c r="G292" s="363">
        <v>3730600587281</v>
      </c>
      <c r="H292" s="364">
        <v>218500</v>
      </c>
      <c r="I292" s="307">
        <f t="shared" si="44"/>
        <v>61</v>
      </c>
      <c r="J292" s="306">
        <f t="shared" si="45"/>
        <v>6</v>
      </c>
      <c r="K292" s="306">
        <f t="shared" si="46"/>
        <v>6</v>
      </c>
      <c r="L292" s="306" t="str">
        <f t="shared" si="47"/>
        <v>61 ปี  6 เดือน  6 วัน</v>
      </c>
      <c r="M292" s="365">
        <f t="shared" si="48"/>
        <v>600</v>
      </c>
      <c r="N292" s="365"/>
      <c r="O292" s="393" t="s">
        <v>1422</v>
      </c>
      <c r="P292" s="42"/>
      <c r="Q292" s="101"/>
      <c r="W292" s="101"/>
      <c r="X292" s="42"/>
    </row>
    <row r="293" spans="1:24" s="57" customFormat="1" ht="21">
      <c r="A293" s="446">
        <v>285</v>
      </c>
      <c r="B293" s="358" t="s">
        <v>30</v>
      </c>
      <c r="C293" s="359" t="s">
        <v>1494</v>
      </c>
      <c r="D293" s="360" t="s">
        <v>691</v>
      </c>
      <c r="E293" s="361" t="s">
        <v>1098</v>
      </c>
      <c r="F293" s="362" t="s">
        <v>684</v>
      </c>
      <c r="G293" s="363">
        <v>3730600584508</v>
      </c>
      <c r="H293" s="364">
        <v>218787</v>
      </c>
      <c r="I293" s="307">
        <f t="shared" si="44"/>
        <v>60</v>
      </c>
      <c r="J293" s="306">
        <f t="shared" si="45"/>
        <v>8</v>
      </c>
      <c r="K293" s="306">
        <f t="shared" si="46"/>
        <v>25</v>
      </c>
      <c r="L293" s="306" t="str">
        <f t="shared" si="47"/>
        <v>60 ปี  8 เดือน  25 วัน</v>
      </c>
      <c r="M293" s="365">
        <f t="shared" si="48"/>
        <v>600</v>
      </c>
      <c r="N293" s="365"/>
      <c r="O293" s="393" t="s">
        <v>1422</v>
      </c>
      <c r="P293" s="42"/>
      <c r="Q293" s="119"/>
      <c r="W293" s="119"/>
      <c r="X293" s="42"/>
    </row>
    <row r="294" spans="1:24" s="57" customFormat="1" ht="21">
      <c r="A294" s="446">
        <v>286</v>
      </c>
      <c r="B294" s="358" t="s">
        <v>31</v>
      </c>
      <c r="C294" s="359" t="s">
        <v>1495</v>
      </c>
      <c r="D294" s="360" t="s">
        <v>1148</v>
      </c>
      <c r="E294" s="361" t="s">
        <v>1098</v>
      </c>
      <c r="F294" s="362" t="s">
        <v>684</v>
      </c>
      <c r="G294" s="363">
        <v>3730600489513</v>
      </c>
      <c r="H294" s="364">
        <v>218969</v>
      </c>
      <c r="I294" s="307">
        <f t="shared" si="44"/>
        <v>60</v>
      </c>
      <c r="J294" s="306">
        <f t="shared" si="45"/>
        <v>2</v>
      </c>
      <c r="K294" s="306">
        <f t="shared" si="46"/>
        <v>24</v>
      </c>
      <c r="L294" s="306" t="str">
        <f t="shared" si="47"/>
        <v>60 ปี  2 เดือน  24 วัน</v>
      </c>
      <c r="M294" s="365">
        <f t="shared" si="48"/>
        <v>600</v>
      </c>
      <c r="N294" s="365"/>
      <c r="O294" s="393" t="s">
        <v>1422</v>
      </c>
      <c r="P294" s="42"/>
      <c r="Q294" s="101"/>
      <c r="W294" s="101"/>
      <c r="X294" s="42"/>
    </row>
    <row r="295" spans="1:24" s="82" customFormat="1" ht="21">
      <c r="A295" s="446">
        <v>287</v>
      </c>
      <c r="B295" s="358" t="s">
        <v>32</v>
      </c>
      <c r="C295" s="359" t="s">
        <v>1496</v>
      </c>
      <c r="D295" s="360" t="s">
        <v>687</v>
      </c>
      <c r="E295" s="361" t="s">
        <v>266</v>
      </c>
      <c r="F295" s="362" t="s">
        <v>684</v>
      </c>
      <c r="G295" s="363">
        <v>3730600586071</v>
      </c>
      <c r="H295" s="364">
        <v>218783</v>
      </c>
      <c r="I295" s="307">
        <f t="shared" si="44"/>
        <v>60</v>
      </c>
      <c r="J295" s="306">
        <f t="shared" si="45"/>
        <v>8</v>
      </c>
      <c r="K295" s="306">
        <f t="shared" si="46"/>
        <v>29</v>
      </c>
      <c r="L295" s="306" t="str">
        <f t="shared" si="47"/>
        <v>60 ปี  8 เดือน  29 วัน</v>
      </c>
      <c r="M295" s="365">
        <f t="shared" si="48"/>
        <v>600</v>
      </c>
      <c r="N295" s="365"/>
      <c r="O295" s="393" t="s">
        <v>1422</v>
      </c>
      <c r="P295" s="57"/>
      <c r="Q295" s="101"/>
      <c r="W295" s="101"/>
      <c r="X295" s="57"/>
    </row>
    <row r="296" spans="1:24" s="82" customFormat="1" ht="21">
      <c r="A296" s="446">
        <v>288</v>
      </c>
      <c r="B296" s="358" t="s">
        <v>30</v>
      </c>
      <c r="C296" s="359" t="s">
        <v>1421</v>
      </c>
      <c r="D296" s="360" t="s">
        <v>614</v>
      </c>
      <c r="E296" s="361" t="s">
        <v>1497</v>
      </c>
      <c r="F296" s="362" t="s">
        <v>684</v>
      </c>
      <c r="G296" s="363">
        <v>3730600584974</v>
      </c>
      <c r="H296" s="364">
        <v>218783</v>
      </c>
      <c r="I296" s="307">
        <f t="shared" si="44"/>
        <v>60</v>
      </c>
      <c r="J296" s="306">
        <f t="shared" si="45"/>
        <v>8</v>
      </c>
      <c r="K296" s="306">
        <f t="shared" si="46"/>
        <v>29</v>
      </c>
      <c r="L296" s="306" t="str">
        <f t="shared" si="47"/>
        <v>60 ปี  8 เดือน  29 วัน</v>
      </c>
      <c r="M296" s="365">
        <f t="shared" si="48"/>
        <v>600</v>
      </c>
      <c r="N296" s="365"/>
      <c r="O296" s="393" t="s">
        <v>1422</v>
      </c>
      <c r="P296" s="42"/>
      <c r="Q296" s="101"/>
      <c r="W296" s="101"/>
      <c r="X296" s="42"/>
    </row>
    <row r="297" spans="1:24" s="82" customFormat="1" ht="21">
      <c r="A297" s="446">
        <v>289</v>
      </c>
      <c r="B297" s="358" t="s">
        <v>30</v>
      </c>
      <c r="C297" s="359" t="s">
        <v>1498</v>
      </c>
      <c r="D297" s="360" t="s">
        <v>638</v>
      </c>
      <c r="E297" s="361" t="s">
        <v>1499</v>
      </c>
      <c r="F297" s="362" t="s">
        <v>684</v>
      </c>
      <c r="G297" s="363">
        <v>3730600584681</v>
      </c>
      <c r="H297" s="364">
        <v>218696</v>
      </c>
      <c r="I297" s="307">
        <f t="shared" si="44"/>
        <v>60</v>
      </c>
      <c r="J297" s="306">
        <f t="shared" si="45"/>
        <v>11</v>
      </c>
      <c r="K297" s="306">
        <f t="shared" si="46"/>
        <v>24</v>
      </c>
      <c r="L297" s="306" t="str">
        <f t="shared" si="47"/>
        <v>60 ปี  11 เดือน  24 วัน</v>
      </c>
      <c r="M297" s="365">
        <f t="shared" si="48"/>
        <v>600</v>
      </c>
      <c r="N297" s="365"/>
      <c r="O297" s="393" t="s">
        <v>1422</v>
      </c>
      <c r="P297" s="42"/>
      <c r="Q297" s="101"/>
      <c r="W297" s="101"/>
      <c r="X297" s="42"/>
    </row>
    <row r="298" spans="1:24" s="82" customFormat="1" ht="21">
      <c r="A298" s="446">
        <v>290</v>
      </c>
      <c r="B298" s="358" t="s">
        <v>32</v>
      </c>
      <c r="C298" s="382" t="s">
        <v>721</v>
      </c>
      <c r="D298" s="383" t="s">
        <v>693</v>
      </c>
      <c r="E298" s="361" t="s">
        <v>97</v>
      </c>
      <c r="F298" s="362">
        <v>3</v>
      </c>
      <c r="G298" s="363">
        <v>3730600590109</v>
      </c>
      <c r="H298" s="364">
        <v>215617</v>
      </c>
      <c r="I298" s="307">
        <f aca="true" t="shared" si="49" ref="I298:I328">DATEDIF(H298,$S$20,"Y")</f>
        <v>69</v>
      </c>
      <c r="J298" s="306">
        <f aca="true" t="shared" si="50" ref="J298:J328">DATEDIF(H298,$S$20,"YM")</f>
        <v>4</v>
      </c>
      <c r="K298" s="306">
        <f aca="true" t="shared" si="51" ref="K298:K328">DATEDIF(H298,$S$20,"MD")</f>
        <v>28</v>
      </c>
      <c r="L298" s="306" t="str">
        <f aca="true" t="shared" si="52" ref="L298:L328">I298&amp;" ปี  "&amp;J298&amp;" เดือน  "&amp;K298&amp;" วัน"</f>
        <v>69 ปี  4 เดือน  28 วัน</v>
      </c>
      <c r="M298" s="365">
        <f aca="true" t="shared" si="53" ref="M298:M311">IF(I298&lt;=69,600,IF(I298&lt;=79,700,IF(I298&lt;=89,800,IF(I298&gt;=90,1000))))</f>
        <v>600</v>
      </c>
      <c r="N298" s="365"/>
      <c r="O298" s="379"/>
      <c r="P298" s="42"/>
      <c r="Q298" s="119"/>
      <c r="W298" s="119"/>
      <c r="X298" s="42"/>
    </row>
    <row r="299" spans="1:15" ht="21">
      <c r="A299" s="446">
        <v>291</v>
      </c>
      <c r="B299" s="358" t="s">
        <v>32</v>
      </c>
      <c r="C299" s="382" t="s">
        <v>222</v>
      </c>
      <c r="D299" s="383" t="s">
        <v>725</v>
      </c>
      <c r="E299" s="361" t="s">
        <v>98</v>
      </c>
      <c r="F299" s="362">
        <v>3</v>
      </c>
      <c r="G299" s="363">
        <v>3730600590371</v>
      </c>
      <c r="H299" s="364">
        <v>216251</v>
      </c>
      <c r="I299" s="422">
        <f t="shared" si="49"/>
        <v>67</v>
      </c>
      <c r="J299" s="423">
        <f t="shared" si="50"/>
        <v>8</v>
      </c>
      <c r="K299" s="423">
        <f t="shared" si="51"/>
        <v>4</v>
      </c>
      <c r="L299" s="423" t="str">
        <f t="shared" si="52"/>
        <v>67 ปี  8 เดือน  4 วัน</v>
      </c>
      <c r="M299" s="365">
        <f t="shared" si="53"/>
        <v>600</v>
      </c>
      <c r="N299" s="365"/>
      <c r="O299" s="379"/>
    </row>
    <row r="300" spans="1:15" ht="21">
      <c r="A300" s="446">
        <v>292</v>
      </c>
      <c r="B300" s="358" t="s">
        <v>31</v>
      </c>
      <c r="C300" s="382" t="s">
        <v>217</v>
      </c>
      <c r="D300" s="383" t="s">
        <v>726</v>
      </c>
      <c r="E300" s="361" t="s">
        <v>727</v>
      </c>
      <c r="F300" s="362" t="s">
        <v>265</v>
      </c>
      <c r="G300" s="363">
        <v>3730600590915</v>
      </c>
      <c r="H300" s="364">
        <v>215962</v>
      </c>
      <c r="I300" s="422">
        <f t="shared" si="49"/>
        <v>68</v>
      </c>
      <c r="J300" s="423">
        <f t="shared" si="50"/>
        <v>5</v>
      </c>
      <c r="K300" s="423">
        <f t="shared" si="51"/>
        <v>18</v>
      </c>
      <c r="L300" s="423" t="str">
        <f t="shared" si="52"/>
        <v>68 ปี  5 เดือน  18 วัน</v>
      </c>
      <c r="M300" s="365">
        <f t="shared" si="53"/>
        <v>600</v>
      </c>
      <c r="N300" s="365"/>
      <c r="O300" s="379"/>
    </row>
    <row r="301" spans="1:23" ht="21">
      <c r="A301" s="446">
        <v>293</v>
      </c>
      <c r="B301" s="358" t="s">
        <v>30</v>
      </c>
      <c r="C301" s="382" t="s">
        <v>728</v>
      </c>
      <c r="D301" s="383" t="s">
        <v>729</v>
      </c>
      <c r="E301" s="361" t="s">
        <v>102</v>
      </c>
      <c r="F301" s="362">
        <v>3</v>
      </c>
      <c r="G301" s="363">
        <v>3730600591202</v>
      </c>
      <c r="H301" s="364">
        <v>215861</v>
      </c>
      <c r="I301" s="422">
        <f t="shared" si="49"/>
        <v>68</v>
      </c>
      <c r="J301" s="423">
        <f t="shared" si="50"/>
        <v>8</v>
      </c>
      <c r="K301" s="423">
        <f t="shared" si="51"/>
        <v>29</v>
      </c>
      <c r="L301" s="423" t="str">
        <f t="shared" si="52"/>
        <v>68 ปี  8 เดือน  29 วัน</v>
      </c>
      <c r="M301" s="365">
        <f t="shared" si="53"/>
        <v>600</v>
      </c>
      <c r="N301" s="365"/>
      <c r="O301" s="379"/>
      <c r="Q301" s="119"/>
      <c r="W301" s="119"/>
    </row>
    <row r="302" spans="1:15" ht="21">
      <c r="A302" s="446">
        <v>294</v>
      </c>
      <c r="B302" s="358" t="s">
        <v>32</v>
      </c>
      <c r="C302" s="382" t="s">
        <v>731</v>
      </c>
      <c r="D302" s="383" t="s">
        <v>732</v>
      </c>
      <c r="E302" s="361" t="s">
        <v>63</v>
      </c>
      <c r="F302" s="362">
        <v>3</v>
      </c>
      <c r="G302" s="363">
        <v>3730600873054</v>
      </c>
      <c r="H302" s="364">
        <v>216209</v>
      </c>
      <c r="I302" s="422">
        <f t="shared" si="49"/>
        <v>67</v>
      </c>
      <c r="J302" s="423">
        <f t="shared" si="50"/>
        <v>9</v>
      </c>
      <c r="K302" s="423">
        <f t="shared" si="51"/>
        <v>15</v>
      </c>
      <c r="L302" s="423" t="str">
        <f t="shared" si="52"/>
        <v>67 ปี  9 เดือน  15 วัน</v>
      </c>
      <c r="M302" s="365">
        <f t="shared" si="53"/>
        <v>600</v>
      </c>
      <c r="N302" s="365"/>
      <c r="O302" s="379"/>
    </row>
    <row r="303" spans="1:16" ht="21">
      <c r="A303" s="446">
        <v>295</v>
      </c>
      <c r="B303" s="358" t="s">
        <v>31</v>
      </c>
      <c r="C303" s="382" t="s">
        <v>734</v>
      </c>
      <c r="D303" s="383" t="s">
        <v>735</v>
      </c>
      <c r="E303" s="361" t="s">
        <v>736</v>
      </c>
      <c r="F303" s="362">
        <v>3</v>
      </c>
      <c r="G303" s="363">
        <v>5730600018932</v>
      </c>
      <c r="H303" s="364">
        <v>215861</v>
      </c>
      <c r="I303" s="422">
        <f t="shared" si="49"/>
        <v>68</v>
      </c>
      <c r="J303" s="423">
        <f t="shared" si="50"/>
        <v>8</v>
      </c>
      <c r="K303" s="423">
        <f t="shared" si="51"/>
        <v>29</v>
      </c>
      <c r="L303" s="423" t="str">
        <f t="shared" si="52"/>
        <v>68 ปี  8 เดือน  29 วัน</v>
      </c>
      <c r="M303" s="365">
        <f t="shared" si="53"/>
        <v>600</v>
      </c>
      <c r="N303" s="365"/>
      <c r="O303" s="379"/>
      <c r="P303" s="42">
        <v>50</v>
      </c>
    </row>
    <row r="304" spans="1:16" ht="21">
      <c r="A304" s="446">
        <v>296</v>
      </c>
      <c r="B304" s="358" t="s">
        <v>30</v>
      </c>
      <c r="C304" s="382" t="s">
        <v>211</v>
      </c>
      <c r="D304" s="383" t="s">
        <v>737</v>
      </c>
      <c r="E304" s="361" t="s">
        <v>738</v>
      </c>
      <c r="F304" s="362">
        <v>3</v>
      </c>
      <c r="G304" s="363">
        <v>3730600592390</v>
      </c>
      <c r="H304" s="364">
        <v>215990</v>
      </c>
      <c r="I304" s="422">
        <f t="shared" si="49"/>
        <v>68</v>
      </c>
      <c r="J304" s="423">
        <f t="shared" si="50"/>
        <v>4</v>
      </c>
      <c r="K304" s="423">
        <f t="shared" si="51"/>
        <v>20</v>
      </c>
      <c r="L304" s="423" t="str">
        <f t="shared" si="52"/>
        <v>68 ปี  4 เดือน  20 วัน</v>
      </c>
      <c r="M304" s="365">
        <f t="shared" si="53"/>
        <v>600</v>
      </c>
      <c r="N304" s="365"/>
      <c r="O304" s="379"/>
      <c r="P304" s="42">
        <v>51</v>
      </c>
    </row>
    <row r="305" spans="1:16" ht="21">
      <c r="A305" s="446">
        <v>297</v>
      </c>
      <c r="B305" s="358" t="s">
        <v>31</v>
      </c>
      <c r="C305" s="382" t="s">
        <v>140</v>
      </c>
      <c r="D305" s="383" t="s">
        <v>739</v>
      </c>
      <c r="E305" s="361" t="s">
        <v>106</v>
      </c>
      <c r="F305" s="362">
        <v>3</v>
      </c>
      <c r="G305" s="363">
        <v>5160400041375</v>
      </c>
      <c r="H305" s="364">
        <v>215953</v>
      </c>
      <c r="I305" s="422">
        <f t="shared" si="49"/>
        <v>68</v>
      </c>
      <c r="J305" s="423">
        <f t="shared" si="50"/>
        <v>5</v>
      </c>
      <c r="K305" s="423">
        <f t="shared" si="51"/>
        <v>27</v>
      </c>
      <c r="L305" s="423" t="str">
        <f t="shared" si="52"/>
        <v>68 ปี  5 เดือน  27 วัน</v>
      </c>
      <c r="M305" s="365">
        <f t="shared" si="53"/>
        <v>600</v>
      </c>
      <c r="N305" s="365"/>
      <c r="O305" s="379"/>
      <c r="P305" s="42">
        <v>52</v>
      </c>
    </row>
    <row r="306" spans="1:16" ht="21">
      <c r="A306" s="446">
        <v>298</v>
      </c>
      <c r="B306" s="358" t="s">
        <v>31</v>
      </c>
      <c r="C306" s="382" t="s">
        <v>740</v>
      </c>
      <c r="D306" s="383" t="s">
        <v>741</v>
      </c>
      <c r="E306" s="361" t="s">
        <v>742</v>
      </c>
      <c r="F306" s="362">
        <v>3</v>
      </c>
      <c r="G306" s="363">
        <v>3730600592896</v>
      </c>
      <c r="H306" s="364">
        <v>215496</v>
      </c>
      <c r="I306" s="422">
        <f t="shared" si="49"/>
        <v>69</v>
      </c>
      <c r="J306" s="423">
        <f t="shared" si="50"/>
        <v>8</v>
      </c>
      <c r="K306" s="423">
        <f t="shared" si="51"/>
        <v>29</v>
      </c>
      <c r="L306" s="423" t="str">
        <f t="shared" si="52"/>
        <v>69 ปี  8 เดือน  29 วัน</v>
      </c>
      <c r="M306" s="365">
        <f t="shared" si="53"/>
        <v>600</v>
      </c>
      <c r="N306" s="365"/>
      <c r="O306" s="379"/>
      <c r="P306" s="42">
        <v>53</v>
      </c>
    </row>
    <row r="307" spans="1:16" ht="21">
      <c r="A307" s="446">
        <v>299</v>
      </c>
      <c r="B307" s="358" t="s">
        <v>31</v>
      </c>
      <c r="C307" s="382" t="s">
        <v>52</v>
      </c>
      <c r="D307" s="383" t="s">
        <v>743</v>
      </c>
      <c r="E307" s="361" t="s">
        <v>183</v>
      </c>
      <c r="F307" s="362">
        <v>3</v>
      </c>
      <c r="G307" s="363">
        <v>3730600593175</v>
      </c>
      <c r="H307" s="364">
        <v>216280</v>
      </c>
      <c r="I307" s="422">
        <f t="shared" si="49"/>
        <v>67</v>
      </c>
      <c r="J307" s="423">
        <f t="shared" si="50"/>
        <v>7</v>
      </c>
      <c r="K307" s="423">
        <f t="shared" si="51"/>
        <v>6</v>
      </c>
      <c r="L307" s="423" t="str">
        <f t="shared" si="52"/>
        <v>67 ปี  7 เดือน  6 วัน</v>
      </c>
      <c r="M307" s="365">
        <f t="shared" si="53"/>
        <v>600</v>
      </c>
      <c r="N307" s="365"/>
      <c r="O307" s="410"/>
      <c r="P307" s="42">
        <v>54</v>
      </c>
    </row>
    <row r="308" spans="1:16" ht="21">
      <c r="A308" s="446">
        <v>300</v>
      </c>
      <c r="B308" s="358" t="s">
        <v>32</v>
      </c>
      <c r="C308" s="382" t="s">
        <v>746</v>
      </c>
      <c r="D308" s="383" t="s">
        <v>747</v>
      </c>
      <c r="E308" s="361" t="s">
        <v>472</v>
      </c>
      <c r="F308" s="362">
        <v>3</v>
      </c>
      <c r="G308" s="363">
        <v>3730600590621</v>
      </c>
      <c r="H308" s="364">
        <v>215859</v>
      </c>
      <c r="I308" s="422">
        <f t="shared" si="49"/>
        <v>68</v>
      </c>
      <c r="J308" s="423">
        <f t="shared" si="50"/>
        <v>9</v>
      </c>
      <c r="K308" s="423">
        <f t="shared" si="51"/>
        <v>0</v>
      </c>
      <c r="L308" s="423" t="str">
        <f t="shared" si="52"/>
        <v>68 ปี  9 เดือน  0 วัน</v>
      </c>
      <c r="M308" s="365">
        <f t="shared" si="53"/>
        <v>600</v>
      </c>
      <c r="N308" s="365"/>
      <c r="O308" s="379"/>
      <c r="P308" s="42">
        <v>55</v>
      </c>
    </row>
    <row r="309" spans="1:16" ht="21">
      <c r="A309" s="446">
        <v>301</v>
      </c>
      <c r="B309" s="358" t="s">
        <v>32</v>
      </c>
      <c r="C309" s="382" t="s">
        <v>748</v>
      </c>
      <c r="D309" s="383" t="s">
        <v>749</v>
      </c>
      <c r="E309" s="361" t="s">
        <v>112</v>
      </c>
      <c r="F309" s="362">
        <v>3</v>
      </c>
      <c r="G309" s="363">
        <v>3730600598070</v>
      </c>
      <c r="H309" s="364">
        <v>215482</v>
      </c>
      <c r="I309" s="422">
        <f t="shared" si="49"/>
        <v>69</v>
      </c>
      <c r="J309" s="423">
        <f t="shared" si="50"/>
        <v>9</v>
      </c>
      <c r="K309" s="423">
        <f t="shared" si="51"/>
        <v>12</v>
      </c>
      <c r="L309" s="423" t="str">
        <f t="shared" si="52"/>
        <v>69 ปี  9 เดือน  12 วัน</v>
      </c>
      <c r="M309" s="365">
        <f t="shared" si="53"/>
        <v>600</v>
      </c>
      <c r="N309" s="365"/>
      <c r="O309" s="379"/>
      <c r="P309" s="42">
        <v>56</v>
      </c>
    </row>
    <row r="310" spans="1:16" ht="21">
      <c r="A310" s="446">
        <v>302</v>
      </c>
      <c r="B310" s="358" t="s">
        <v>30</v>
      </c>
      <c r="C310" s="382" t="s">
        <v>450</v>
      </c>
      <c r="D310" s="383" t="s">
        <v>700</v>
      </c>
      <c r="E310" s="361" t="s">
        <v>233</v>
      </c>
      <c r="F310" s="362">
        <v>3</v>
      </c>
      <c r="G310" s="363">
        <v>3730600874565</v>
      </c>
      <c r="H310" s="364">
        <v>215885</v>
      </c>
      <c r="I310" s="422">
        <f t="shared" si="49"/>
        <v>68</v>
      </c>
      <c r="J310" s="423">
        <f t="shared" si="50"/>
        <v>8</v>
      </c>
      <c r="K310" s="423">
        <f t="shared" si="51"/>
        <v>5</v>
      </c>
      <c r="L310" s="423" t="str">
        <f t="shared" si="52"/>
        <v>68 ปี  8 เดือน  5 วัน</v>
      </c>
      <c r="M310" s="365">
        <f t="shared" si="53"/>
        <v>600</v>
      </c>
      <c r="N310" s="365"/>
      <c r="O310" s="379"/>
      <c r="P310" s="42">
        <v>57</v>
      </c>
    </row>
    <row r="311" spans="1:16" ht="21">
      <c r="A311" s="446">
        <v>303</v>
      </c>
      <c r="B311" s="358" t="s">
        <v>30</v>
      </c>
      <c r="C311" s="382" t="s">
        <v>140</v>
      </c>
      <c r="D311" s="383" t="s">
        <v>548</v>
      </c>
      <c r="E311" s="361" t="s">
        <v>96</v>
      </c>
      <c r="F311" s="362">
        <v>3</v>
      </c>
      <c r="G311" s="363">
        <v>3730600589984</v>
      </c>
      <c r="H311" s="364">
        <v>216318</v>
      </c>
      <c r="I311" s="422">
        <f t="shared" si="49"/>
        <v>67</v>
      </c>
      <c r="J311" s="423">
        <f t="shared" si="50"/>
        <v>5</v>
      </c>
      <c r="K311" s="423">
        <f t="shared" si="51"/>
        <v>28</v>
      </c>
      <c r="L311" s="423" t="str">
        <f t="shared" si="52"/>
        <v>67 ปี  5 เดือน  28 วัน</v>
      </c>
      <c r="M311" s="365">
        <f t="shared" si="53"/>
        <v>600</v>
      </c>
      <c r="N311" s="365"/>
      <c r="O311" s="379"/>
      <c r="P311" s="42">
        <v>58</v>
      </c>
    </row>
    <row r="312" spans="1:16" ht="21">
      <c r="A312" s="446">
        <v>304</v>
      </c>
      <c r="B312" s="358" t="s">
        <v>30</v>
      </c>
      <c r="C312" s="382" t="s">
        <v>211</v>
      </c>
      <c r="D312" s="383" t="s">
        <v>752</v>
      </c>
      <c r="E312" s="361" t="s">
        <v>98</v>
      </c>
      <c r="F312" s="362">
        <v>3</v>
      </c>
      <c r="G312" s="363">
        <v>3730600590397</v>
      </c>
      <c r="H312" s="364">
        <v>216957</v>
      </c>
      <c r="I312" s="422">
        <f t="shared" si="49"/>
        <v>65</v>
      </c>
      <c r="J312" s="423">
        <f t="shared" si="50"/>
        <v>8</v>
      </c>
      <c r="K312" s="423">
        <f t="shared" si="51"/>
        <v>29</v>
      </c>
      <c r="L312" s="423" t="str">
        <f t="shared" si="52"/>
        <v>65 ปี  8 เดือน  29 วัน</v>
      </c>
      <c r="M312" s="365">
        <f aca="true" t="shared" si="54" ref="M312:M343">IF(I312&lt;=69,600,IF(I312&lt;=79,700,IF(I312&lt;=89,800,IF(I312&gt;=90,1000))))</f>
        <v>600</v>
      </c>
      <c r="N312" s="365"/>
      <c r="O312" s="379"/>
      <c r="P312" s="42">
        <v>59</v>
      </c>
    </row>
    <row r="313" spans="1:16" ht="21">
      <c r="A313" s="446">
        <v>305</v>
      </c>
      <c r="B313" s="358" t="s">
        <v>30</v>
      </c>
      <c r="C313" s="382" t="s">
        <v>648</v>
      </c>
      <c r="D313" s="383" t="s">
        <v>713</v>
      </c>
      <c r="E313" s="361" t="s">
        <v>93</v>
      </c>
      <c r="F313" s="362">
        <v>3</v>
      </c>
      <c r="G313" s="363">
        <v>3730600143072</v>
      </c>
      <c r="H313" s="364">
        <v>217365</v>
      </c>
      <c r="I313" s="422">
        <f t="shared" si="49"/>
        <v>64</v>
      </c>
      <c r="J313" s="423">
        <f t="shared" si="50"/>
        <v>7</v>
      </c>
      <c r="K313" s="423">
        <f t="shared" si="51"/>
        <v>17</v>
      </c>
      <c r="L313" s="423" t="str">
        <f t="shared" si="52"/>
        <v>64 ปี  7 เดือน  17 วัน</v>
      </c>
      <c r="M313" s="365">
        <f t="shared" si="54"/>
        <v>600</v>
      </c>
      <c r="N313" s="365"/>
      <c r="O313" s="379"/>
      <c r="P313" s="42">
        <v>60</v>
      </c>
    </row>
    <row r="314" spans="1:23" s="57" customFormat="1" ht="21">
      <c r="A314" s="446">
        <v>306</v>
      </c>
      <c r="B314" s="358" t="s">
        <v>30</v>
      </c>
      <c r="C314" s="382" t="s">
        <v>753</v>
      </c>
      <c r="D314" s="383" t="s">
        <v>754</v>
      </c>
      <c r="E314" s="361" t="s">
        <v>179</v>
      </c>
      <c r="F314" s="362">
        <v>3</v>
      </c>
      <c r="G314" s="363">
        <v>3730100719021</v>
      </c>
      <c r="H314" s="364">
        <v>217542</v>
      </c>
      <c r="I314" s="422">
        <f t="shared" si="49"/>
        <v>64</v>
      </c>
      <c r="J314" s="423">
        <f t="shared" si="50"/>
        <v>1</v>
      </c>
      <c r="K314" s="423">
        <f t="shared" si="51"/>
        <v>21</v>
      </c>
      <c r="L314" s="423" t="str">
        <f t="shared" si="52"/>
        <v>64 ปี  1 เดือน  21 วัน</v>
      </c>
      <c r="M314" s="365">
        <f t="shared" si="54"/>
        <v>600</v>
      </c>
      <c r="N314" s="365"/>
      <c r="O314" s="379"/>
      <c r="Q314" s="119"/>
      <c r="R314" s="111" t="s">
        <v>0</v>
      </c>
      <c r="S314" s="112" t="s">
        <v>22</v>
      </c>
      <c r="T314" s="101"/>
      <c r="U314" s="113" t="s">
        <v>1</v>
      </c>
      <c r="V314" s="113" t="s">
        <v>22</v>
      </c>
      <c r="W314" s="119"/>
    </row>
    <row r="315" spans="1:23" s="57" customFormat="1" ht="21">
      <c r="A315" s="446">
        <v>307</v>
      </c>
      <c r="B315" s="358" t="s">
        <v>32</v>
      </c>
      <c r="C315" s="382" t="s">
        <v>209</v>
      </c>
      <c r="D315" s="383" t="s">
        <v>726</v>
      </c>
      <c r="E315" s="361" t="s">
        <v>276</v>
      </c>
      <c r="F315" s="362">
        <v>3</v>
      </c>
      <c r="G315" s="363">
        <v>3730600590516</v>
      </c>
      <c r="H315" s="364">
        <v>217405</v>
      </c>
      <c r="I315" s="422">
        <f t="shared" si="49"/>
        <v>64</v>
      </c>
      <c r="J315" s="423">
        <f t="shared" si="50"/>
        <v>6</v>
      </c>
      <c r="K315" s="423">
        <f t="shared" si="51"/>
        <v>5</v>
      </c>
      <c r="L315" s="423" t="str">
        <f t="shared" si="52"/>
        <v>64 ปี  6 เดือน  5 วัน</v>
      </c>
      <c r="M315" s="365">
        <f t="shared" si="54"/>
        <v>600</v>
      </c>
      <c r="N315" s="365"/>
      <c r="O315" s="379"/>
      <c r="Q315" s="101"/>
      <c r="R315" s="114">
        <v>60</v>
      </c>
      <c r="S315" s="98">
        <f>COUNTIF(I298:I330,"60")</f>
        <v>0</v>
      </c>
      <c r="T315" s="101"/>
      <c r="U315" s="115" t="s">
        <v>2</v>
      </c>
      <c r="V315" s="93">
        <f>SUM(S315:S324)</f>
        <v>33</v>
      </c>
      <c r="W315" s="101"/>
    </row>
    <row r="316" spans="1:24" ht="21">
      <c r="A316" s="446">
        <v>308</v>
      </c>
      <c r="B316" s="358" t="s">
        <v>30</v>
      </c>
      <c r="C316" s="382" t="s">
        <v>156</v>
      </c>
      <c r="D316" s="383" t="s">
        <v>755</v>
      </c>
      <c r="E316" s="361" t="s">
        <v>671</v>
      </c>
      <c r="F316" s="362">
        <v>3</v>
      </c>
      <c r="G316" s="363">
        <v>3730600589763</v>
      </c>
      <c r="H316" s="364">
        <v>217756</v>
      </c>
      <c r="I316" s="422">
        <f t="shared" si="49"/>
        <v>63</v>
      </c>
      <c r="J316" s="423">
        <f t="shared" si="50"/>
        <v>6</v>
      </c>
      <c r="K316" s="423">
        <f t="shared" si="51"/>
        <v>20</v>
      </c>
      <c r="L316" s="423" t="str">
        <f t="shared" si="52"/>
        <v>63 ปี  6 เดือน  20 วัน</v>
      </c>
      <c r="M316" s="365">
        <f t="shared" si="54"/>
        <v>600</v>
      </c>
      <c r="N316" s="365"/>
      <c r="O316" s="379" t="s">
        <v>1546</v>
      </c>
      <c r="P316" s="57"/>
      <c r="R316" s="114">
        <v>61</v>
      </c>
      <c r="S316" s="98">
        <f>COUNTIF(I298:I330,"61")</f>
        <v>0</v>
      </c>
      <c r="U316" s="115" t="s">
        <v>7</v>
      </c>
      <c r="V316" s="93">
        <f>SUM(S325:S334)</f>
        <v>0</v>
      </c>
      <c r="X316" s="57"/>
    </row>
    <row r="317" spans="1:24" ht="21">
      <c r="A317" s="446">
        <v>309</v>
      </c>
      <c r="B317" s="358" t="s">
        <v>31</v>
      </c>
      <c r="C317" s="382" t="s">
        <v>90</v>
      </c>
      <c r="D317" s="383" t="s">
        <v>756</v>
      </c>
      <c r="E317" s="361" t="s">
        <v>757</v>
      </c>
      <c r="F317" s="362">
        <v>3</v>
      </c>
      <c r="G317" s="363">
        <v>3730600593060</v>
      </c>
      <c r="H317" s="364">
        <v>217784</v>
      </c>
      <c r="I317" s="422">
        <f t="shared" si="49"/>
        <v>63</v>
      </c>
      <c r="J317" s="423">
        <f t="shared" si="50"/>
        <v>5</v>
      </c>
      <c r="K317" s="423">
        <f t="shared" si="51"/>
        <v>23</v>
      </c>
      <c r="L317" s="423" t="str">
        <f t="shared" si="52"/>
        <v>63 ปี  5 เดือน  23 วัน</v>
      </c>
      <c r="M317" s="365">
        <f t="shared" si="54"/>
        <v>600</v>
      </c>
      <c r="N317" s="365"/>
      <c r="O317" s="379"/>
      <c r="P317" s="57"/>
      <c r="R317" s="114">
        <v>62</v>
      </c>
      <c r="S317" s="98">
        <f>COUNTIF(I298:I330,"62")</f>
        <v>6</v>
      </c>
      <c r="U317" s="115" t="s">
        <v>8</v>
      </c>
      <c r="V317" s="93">
        <f>SUM(S335:S344)</f>
        <v>0</v>
      </c>
      <c r="X317" s="57"/>
    </row>
    <row r="318" spans="1:24" ht="21">
      <c r="A318" s="446">
        <v>310</v>
      </c>
      <c r="B318" s="358" t="s">
        <v>30</v>
      </c>
      <c r="C318" s="382" t="s">
        <v>758</v>
      </c>
      <c r="D318" s="383" t="s">
        <v>43</v>
      </c>
      <c r="E318" s="361" t="s">
        <v>757</v>
      </c>
      <c r="F318" s="362">
        <v>3</v>
      </c>
      <c r="G318" s="363">
        <v>3730600592098</v>
      </c>
      <c r="H318" s="364">
        <v>217687</v>
      </c>
      <c r="I318" s="422">
        <f t="shared" si="49"/>
        <v>63</v>
      </c>
      <c r="J318" s="423">
        <f t="shared" si="50"/>
        <v>8</v>
      </c>
      <c r="K318" s="423">
        <f t="shared" si="51"/>
        <v>29</v>
      </c>
      <c r="L318" s="423" t="str">
        <f t="shared" si="52"/>
        <v>63 ปี  8 เดือน  29 วัน</v>
      </c>
      <c r="M318" s="365">
        <f t="shared" si="54"/>
        <v>600</v>
      </c>
      <c r="N318" s="365"/>
      <c r="O318" s="379"/>
      <c r="P318" s="57"/>
      <c r="R318" s="114">
        <v>63</v>
      </c>
      <c r="S318" s="98">
        <f>COUNTIF(I298:I330,"63")</f>
        <v>8</v>
      </c>
      <c r="U318" s="115" t="s">
        <v>9</v>
      </c>
      <c r="V318" s="93">
        <f>SUM(S345:S352)</f>
        <v>0</v>
      </c>
      <c r="W318" s="119"/>
      <c r="X318" s="57"/>
    </row>
    <row r="319" spans="1:24" ht="21">
      <c r="A319" s="446">
        <v>311</v>
      </c>
      <c r="B319" s="358" t="s">
        <v>31</v>
      </c>
      <c r="C319" s="382" t="s">
        <v>239</v>
      </c>
      <c r="D319" s="383" t="s">
        <v>737</v>
      </c>
      <c r="E319" s="361" t="s">
        <v>738</v>
      </c>
      <c r="F319" s="362">
        <v>3</v>
      </c>
      <c r="G319" s="363">
        <v>3730600592403</v>
      </c>
      <c r="H319" s="364">
        <v>217687</v>
      </c>
      <c r="I319" s="422">
        <f t="shared" si="49"/>
        <v>63</v>
      </c>
      <c r="J319" s="423">
        <f t="shared" si="50"/>
        <v>8</v>
      </c>
      <c r="K319" s="423">
        <f t="shared" si="51"/>
        <v>29</v>
      </c>
      <c r="L319" s="423" t="str">
        <f t="shared" si="52"/>
        <v>63 ปี  8 เดือน  29 วัน</v>
      </c>
      <c r="M319" s="365">
        <f t="shared" si="54"/>
        <v>600</v>
      </c>
      <c r="N319" s="365"/>
      <c r="O319" s="379"/>
      <c r="P319" s="57"/>
      <c r="R319" s="114">
        <v>64</v>
      </c>
      <c r="S319" s="98">
        <f>COUNTIF(I298:I330,"64")</f>
        <v>3</v>
      </c>
      <c r="U319" s="113" t="s">
        <v>25</v>
      </c>
      <c r="V319" s="113">
        <f>SUM(V315:V318)</f>
        <v>33</v>
      </c>
      <c r="X319" s="57"/>
    </row>
    <row r="320" spans="1:24" ht="21">
      <c r="A320" s="446">
        <v>312</v>
      </c>
      <c r="B320" s="358" t="s">
        <v>31</v>
      </c>
      <c r="C320" s="382" t="s">
        <v>759</v>
      </c>
      <c r="D320" s="383" t="s">
        <v>760</v>
      </c>
      <c r="E320" s="361" t="s">
        <v>425</v>
      </c>
      <c r="F320" s="362">
        <v>3</v>
      </c>
      <c r="G320" s="363">
        <v>3730600981264</v>
      </c>
      <c r="H320" s="364">
        <v>217934</v>
      </c>
      <c r="I320" s="422">
        <f t="shared" si="49"/>
        <v>63</v>
      </c>
      <c r="J320" s="423">
        <f t="shared" si="50"/>
        <v>0</v>
      </c>
      <c r="K320" s="423">
        <f t="shared" si="51"/>
        <v>26</v>
      </c>
      <c r="L320" s="423" t="str">
        <f t="shared" si="52"/>
        <v>63 ปี  0 เดือน  26 วัน</v>
      </c>
      <c r="M320" s="365">
        <f t="shared" si="54"/>
        <v>600</v>
      </c>
      <c r="N320" s="365"/>
      <c r="O320" s="393" t="s">
        <v>1388</v>
      </c>
      <c r="P320" s="57"/>
      <c r="R320" s="114">
        <v>65</v>
      </c>
      <c r="S320" s="98">
        <f>COUNTIF(I298:I330,"65")</f>
        <v>1</v>
      </c>
      <c r="V320" s="116"/>
      <c r="X320" s="57"/>
    </row>
    <row r="321" spans="1:24" ht="21">
      <c r="A321" s="446">
        <v>313</v>
      </c>
      <c r="B321" s="358" t="s">
        <v>31</v>
      </c>
      <c r="C321" s="382" t="s">
        <v>90</v>
      </c>
      <c r="D321" s="383" t="s">
        <v>744</v>
      </c>
      <c r="E321" s="361" t="s">
        <v>256</v>
      </c>
      <c r="F321" s="362">
        <v>3</v>
      </c>
      <c r="G321" s="363">
        <v>3730600592586</v>
      </c>
      <c r="H321" s="364">
        <v>217755</v>
      </c>
      <c r="I321" s="422">
        <f t="shared" si="49"/>
        <v>63</v>
      </c>
      <c r="J321" s="423">
        <f t="shared" si="50"/>
        <v>6</v>
      </c>
      <c r="K321" s="423">
        <f t="shared" si="51"/>
        <v>21</v>
      </c>
      <c r="L321" s="423" t="str">
        <f t="shared" si="52"/>
        <v>63 ปี  6 เดือน  21 วัน</v>
      </c>
      <c r="M321" s="365">
        <f t="shared" si="54"/>
        <v>600</v>
      </c>
      <c r="N321" s="365"/>
      <c r="O321" s="379"/>
      <c r="P321" s="57"/>
      <c r="Q321" s="133"/>
      <c r="R321" s="114">
        <v>66</v>
      </c>
      <c r="S321" s="98">
        <f>COUNTIF(I298:I330,"66")</f>
        <v>0</v>
      </c>
      <c r="X321" s="57"/>
    </row>
    <row r="322" spans="1:24" ht="21">
      <c r="A322" s="446">
        <v>314</v>
      </c>
      <c r="B322" s="358" t="s">
        <v>30</v>
      </c>
      <c r="C322" s="382" t="s">
        <v>761</v>
      </c>
      <c r="D322" s="383" t="s">
        <v>762</v>
      </c>
      <c r="E322" s="361" t="s">
        <v>763</v>
      </c>
      <c r="F322" s="362">
        <v>3</v>
      </c>
      <c r="G322" s="363">
        <v>3102201562826</v>
      </c>
      <c r="H322" s="364">
        <v>217717</v>
      </c>
      <c r="I322" s="422">
        <f t="shared" si="49"/>
        <v>63</v>
      </c>
      <c r="J322" s="423">
        <f t="shared" si="50"/>
        <v>7</v>
      </c>
      <c r="K322" s="423">
        <f t="shared" si="51"/>
        <v>30</v>
      </c>
      <c r="L322" s="423" t="str">
        <f t="shared" si="52"/>
        <v>63 ปี  7 เดือน  30 วัน</v>
      </c>
      <c r="M322" s="365">
        <f t="shared" si="54"/>
        <v>600</v>
      </c>
      <c r="N322" s="365"/>
      <c r="O322" s="379"/>
      <c r="P322" s="57"/>
      <c r="R322" s="114">
        <v>67</v>
      </c>
      <c r="S322" s="98">
        <f>COUNTIF(I298:I330,"67")</f>
        <v>5</v>
      </c>
      <c r="X322" s="57"/>
    </row>
    <row r="323" spans="1:24" ht="21">
      <c r="A323" s="446">
        <v>315</v>
      </c>
      <c r="B323" s="358" t="s">
        <v>31</v>
      </c>
      <c r="C323" s="382" t="s">
        <v>764</v>
      </c>
      <c r="D323" s="383" t="s">
        <v>765</v>
      </c>
      <c r="E323" s="361" t="s">
        <v>766</v>
      </c>
      <c r="F323" s="362">
        <v>3</v>
      </c>
      <c r="G323" s="363">
        <v>3730600576661</v>
      </c>
      <c r="H323" s="364">
        <v>217687</v>
      </c>
      <c r="I323" s="422">
        <f t="shared" si="49"/>
        <v>63</v>
      </c>
      <c r="J323" s="423">
        <f t="shared" si="50"/>
        <v>8</v>
      </c>
      <c r="K323" s="423">
        <f t="shared" si="51"/>
        <v>29</v>
      </c>
      <c r="L323" s="423" t="str">
        <f t="shared" si="52"/>
        <v>63 ปี  8 เดือน  29 วัน</v>
      </c>
      <c r="M323" s="365">
        <f t="shared" si="54"/>
        <v>600</v>
      </c>
      <c r="N323" s="365"/>
      <c r="O323" s="410" t="s">
        <v>550</v>
      </c>
      <c r="P323" s="57"/>
      <c r="R323" s="114">
        <v>68</v>
      </c>
      <c r="S323" s="98">
        <f>COUNTIF(I298:I330,"68")</f>
        <v>7</v>
      </c>
      <c r="X323" s="57"/>
    </row>
    <row r="324" spans="1:24" ht="21">
      <c r="A324" s="446">
        <v>316</v>
      </c>
      <c r="B324" s="424" t="s">
        <v>32</v>
      </c>
      <c r="C324" s="425" t="s">
        <v>768</v>
      </c>
      <c r="D324" s="426" t="s">
        <v>235</v>
      </c>
      <c r="E324" s="361" t="s">
        <v>767</v>
      </c>
      <c r="F324" s="362">
        <v>3</v>
      </c>
      <c r="G324" s="363">
        <v>3730600590486</v>
      </c>
      <c r="H324" s="364">
        <v>218194</v>
      </c>
      <c r="I324" s="422">
        <f t="shared" si="49"/>
        <v>62</v>
      </c>
      <c r="J324" s="423">
        <f t="shared" si="50"/>
        <v>4</v>
      </c>
      <c r="K324" s="423">
        <f t="shared" si="51"/>
        <v>8</v>
      </c>
      <c r="L324" s="423" t="str">
        <f t="shared" si="52"/>
        <v>62 ปี  4 เดือน  8 วัน</v>
      </c>
      <c r="M324" s="365">
        <f t="shared" si="54"/>
        <v>600</v>
      </c>
      <c r="N324" s="365"/>
      <c r="O324" s="410" t="s">
        <v>550</v>
      </c>
      <c r="R324" s="114">
        <v>69</v>
      </c>
      <c r="S324" s="98">
        <f>COUNTIF(I298:I330,"69")</f>
        <v>3</v>
      </c>
      <c r="X324" s="57"/>
    </row>
    <row r="325" spans="1:23" s="57" customFormat="1" ht="21">
      <c r="A325" s="446">
        <v>317</v>
      </c>
      <c r="B325" s="358" t="s">
        <v>30</v>
      </c>
      <c r="C325" s="382" t="s">
        <v>229</v>
      </c>
      <c r="D325" s="383" t="s">
        <v>110</v>
      </c>
      <c r="E325" s="361" t="s">
        <v>769</v>
      </c>
      <c r="F325" s="362">
        <v>3</v>
      </c>
      <c r="G325" s="363">
        <v>3730600592691</v>
      </c>
      <c r="H325" s="364">
        <v>218101</v>
      </c>
      <c r="I325" s="422">
        <f t="shared" si="49"/>
        <v>62</v>
      </c>
      <c r="J325" s="423">
        <f t="shared" si="50"/>
        <v>7</v>
      </c>
      <c r="K325" s="423">
        <f t="shared" si="51"/>
        <v>12</v>
      </c>
      <c r="L325" s="423" t="str">
        <f t="shared" si="52"/>
        <v>62 ปี  7 เดือน  12 วัน</v>
      </c>
      <c r="M325" s="365">
        <f t="shared" si="54"/>
        <v>600</v>
      </c>
      <c r="N325" s="365"/>
      <c r="O325" s="410" t="s">
        <v>550</v>
      </c>
      <c r="P325" s="42"/>
      <c r="Q325" s="101"/>
      <c r="R325" s="117">
        <v>70</v>
      </c>
      <c r="S325" s="118">
        <f>COUNTIF(I298:I330,"70")</f>
        <v>0</v>
      </c>
      <c r="T325" s="101"/>
      <c r="U325" s="101"/>
      <c r="V325" s="101"/>
      <c r="W325" s="101"/>
    </row>
    <row r="326" spans="1:23" s="57" customFormat="1" ht="21">
      <c r="A326" s="446">
        <v>318</v>
      </c>
      <c r="B326" s="358" t="s">
        <v>32</v>
      </c>
      <c r="C326" s="382" t="s">
        <v>770</v>
      </c>
      <c r="D326" s="383" t="s">
        <v>749</v>
      </c>
      <c r="E326" s="361" t="s">
        <v>74</v>
      </c>
      <c r="F326" s="362">
        <v>3</v>
      </c>
      <c r="G326" s="363">
        <v>3730600598088</v>
      </c>
      <c r="H326" s="364">
        <v>218079</v>
      </c>
      <c r="I326" s="422">
        <f t="shared" si="49"/>
        <v>62</v>
      </c>
      <c r="J326" s="423">
        <f t="shared" si="50"/>
        <v>8</v>
      </c>
      <c r="K326" s="423">
        <f t="shared" si="51"/>
        <v>3</v>
      </c>
      <c r="L326" s="423" t="str">
        <f t="shared" si="52"/>
        <v>62 ปี  8 เดือน  3 วัน</v>
      </c>
      <c r="M326" s="365">
        <f t="shared" si="54"/>
        <v>600</v>
      </c>
      <c r="N326" s="365"/>
      <c r="O326" s="410" t="s">
        <v>550</v>
      </c>
      <c r="P326" s="42"/>
      <c r="Q326" s="101"/>
      <c r="R326" s="114">
        <v>71</v>
      </c>
      <c r="S326" s="96">
        <f>COUNTIF(I298:I330,"71")</f>
        <v>0</v>
      </c>
      <c r="T326" s="101"/>
      <c r="U326" s="101"/>
      <c r="V326" s="101"/>
      <c r="W326" s="101"/>
    </row>
    <row r="327" spans="1:23" s="57" customFormat="1" ht="21">
      <c r="A327" s="446">
        <v>319</v>
      </c>
      <c r="B327" s="358" t="s">
        <v>31</v>
      </c>
      <c r="C327" s="382" t="s">
        <v>771</v>
      </c>
      <c r="D327" s="383" t="s">
        <v>772</v>
      </c>
      <c r="E327" s="361" t="s">
        <v>80</v>
      </c>
      <c r="F327" s="362">
        <v>3</v>
      </c>
      <c r="G327" s="363">
        <v>3730600873682</v>
      </c>
      <c r="H327" s="364">
        <v>218122</v>
      </c>
      <c r="I327" s="422">
        <f t="shared" si="49"/>
        <v>62</v>
      </c>
      <c r="J327" s="423">
        <f t="shared" si="50"/>
        <v>6</v>
      </c>
      <c r="K327" s="423">
        <f t="shared" si="51"/>
        <v>19</v>
      </c>
      <c r="L327" s="423" t="str">
        <f t="shared" si="52"/>
        <v>62 ปี  6 เดือน  19 วัน</v>
      </c>
      <c r="M327" s="365">
        <f t="shared" si="54"/>
        <v>600</v>
      </c>
      <c r="N327" s="365"/>
      <c r="O327" s="410" t="s">
        <v>550</v>
      </c>
      <c r="Q327" s="101"/>
      <c r="R327" s="114">
        <v>72</v>
      </c>
      <c r="S327" s="96">
        <f>COUNTIF(I298:I330,"72")</f>
        <v>0</v>
      </c>
      <c r="T327" s="101"/>
      <c r="U327" s="101"/>
      <c r="V327" s="101"/>
      <c r="W327" s="101"/>
    </row>
    <row r="328" spans="1:24" s="57" customFormat="1" ht="21">
      <c r="A328" s="446">
        <v>320</v>
      </c>
      <c r="B328" s="358" t="s">
        <v>30</v>
      </c>
      <c r="C328" s="382" t="s">
        <v>690</v>
      </c>
      <c r="D328" s="383" t="s">
        <v>193</v>
      </c>
      <c r="E328" s="361" t="s">
        <v>183</v>
      </c>
      <c r="F328" s="362">
        <v>3</v>
      </c>
      <c r="G328" s="363">
        <v>3730600593183</v>
      </c>
      <c r="H328" s="364">
        <v>218147</v>
      </c>
      <c r="I328" s="422">
        <f t="shared" si="49"/>
        <v>62</v>
      </c>
      <c r="J328" s="423">
        <f t="shared" si="50"/>
        <v>5</v>
      </c>
      <c r="K328" s="423">
        <f t="shared" si="51"/>
        <v>25</v>
      </c>
      <c r="L328" s="423" t="str">
        <f t="shared" si="52"/>
        <v>62 ปี  5 เดือน  25 วัน</v>
      </c>
      <c r="M328" s="365">
        <f t="shared" si="54"/>
        <v>600</v>
      </c>
      <c r="N328" s="365"/>
      <c r="O328" s="410" t="s">
        <v>550</v>
      </c>
      <c r="P328" s="42"/>
      <c r="Q328" s="119"/>
      <c r="R328" s="114">
        <v>73</v>
      </c>
      <c r="S328" s="96">
        <f>COUNTIF(I298:I330,"73")</f>
        <v>0</v>
      </c>
      <c r="T328" s="101"/>
      <c r="U328" s="101"/>
      <c r="V328" s="101"/>
      <c r="W328" s="101"/>
      <c r="X328" s="42"/>
    </row>
    <row r="329" spans="1:24" s="57" customFormat="1" ht="21">
      <c r="A329" s="446">
        <v>321</v>
      </c>
      <c r="B329" s="358" t="s">
        <v>31</v>
      </c>
      <c r="C329" s="382" t="s">
        <v>199</v>
      </c>
      <c r="D329" s="383" t="s">
        <v>729</v>
      </c>
      <c r="E329" s="361" t="s">
        <v>102</v>
      </c>
      <c r="F329" s="362">
        <v>3</v>
      </c>
      <c r="G329" s="363">
        <v>3730600591148</v>
      </c>
      <c r="H329" s="364">
        <v>218053</v>
      </c>
      <c r="I329" s="422">
        <f aca="true" t="shared" si="55" ref="I329:I360">DATEDIF(H329,$S$20,"Y")</f>
        <v>62</v>
      </c>
      <c r="J329" s="423">
        <f aca="true" t="shared" si="56" ref="J329:J360">DATEDIF(H329,$S$20,"YM")</f>
        <v>8</v>
      </c>
      <c r="K329" s="423">
        <f aca="true" t="shared" si="57" ref="K329:K360">DATEDIF(H329,$S$20,"MD")</f>
        <v>29</v>
      </c>
      <c r="L329" s="423" t="str">
        <f aca="true" t="shared" si="58" ref="L329:L360">I329&amp;" ปี  "&amp;J329&amp;" เดือน  "&amp;K329&amp;" วัน"</f>
        <v>62 ปี  8 เดือน  29 วัน</v>
      </c>
      <c r="M329" s="365">
        <f t="shared" si="54"/>
        <v>600</v>
      </c>
      <c r="N329" s="365"/>
      <c r="O329" s="410" t="s">
        <v>550</v>
      </c>
      <c r="P329" s="42"/>
      <c r="Q329" s="101"/>
      <c r="R329" s="114">
        <v>74</v>
      </c>
      <c r="S329" s="96">
        <f>COUNTIF(I298:I330,"74")</f>
        <v>0</v>
      </c>
      <c r="T329" s="101"/>
      <c r="U329" s="101"/>
      <c r="V329" s="101"/>
      <c r="W329" s="101"/>
      <c r="X329" s="42"/>
    </row>
    <row r="330" spans="1:24" s="82" customFormat="1" ht="21">
      <c r="A330" s="446">
        <v>322</v>
      </c>
      <c r="B330" s="358" t="s">
        <v>31</v>
      </c>
      <c r="C330" s="382" t="s">
        <v>213</v>
      </c>
      <c r="D330" s="383" t="s">
        <v>773</v>
      </c>
      <c r="E330" s="361" t="s">
        <v>187</v>
      </c>
      <c r="F330" s="362">
        <v>3</v>
      </c>
      <c r="G330" s="363">
        <v>3730300912968</v>
      </c>
      <c r="H330" s="364">
        <v>216226</v>
      </c>
      <c r="I330" s="422">
        <f t="shared" si="55"/>
        <v>67</v>
      </c>
      <c r="J330" s="423">
        <f t="shared" si="56"/>
        <v>8</v>
      </c>
      <c r="K330" s="423">
        <f t="shared" si="57"/>
        <v>29</v>
      </c>
      <c r="L330" s="423" t="str">
        <f t="shared" si="58"/>
        <v>67 ปี  8 เดือน  29 วัน</v>
      </c>
      <c r="M330" s="365">
        <f t="shared" si="54"/>
        <v>600</v>
      </c>
      <c r="N330" s="365"/>
      <c r="O330" s="410" t="s">
        <v>550</v>
      </c>
      <c r="P330" s="42"/>
      <c r="Q330" s="101"/>
      <c r="R330" s="114">
        <v>75</v>
      </c>
      <c r="S330" s="96">
        <f>COUNTIF(I298:I330,"75")</f>
        <v>0</v>
      </c>
      <c r="T330" s="101"/>
      <c r="U330" s="101"/>
      <c r="V330" s="101"/>
      <c r="W330" s="101"/>
      <c r="X330" s="42"/>
    </row>
    <row r="331" spans="1:24" s="82" customFormat="1" ht="21">
      <c r="A331" s="446">
        <v>323</v>
      </c>
      <c r="B331" s="358" t="s">
        <v>30</v>
      </c>
      <c r="C331" s="382" t="s">
        <v>1315</v>
      </c>
      <c r="D331" s="383" t="s">
        <v>1316</v>
      </c>
      <c r="E331" s="361" t="s">
        <v>99</v>
      </c>
      <c r="F331" s="362" t="s">
        <v>265</v>
      </c>
      <c r="G331" s="363" t="s">
        <v>1317</v>
      </c>
      <c r="H331" s="364">
        <v>218418</v>
      </c>
      <c r="I331" s="307">
        <f t="shared" si="55"/>
        <v>61</v>
      </c>
      <c r="J331" s="306">
        <f t="shared" si="56"/>
        <v>8</v>
      </c>
      <c r="K331" s="306">
        <f t="shared" si="57"/>
        <v>29</v>
      </c>
      <c r="L331" s="306" t="str">
        <f t="shared" si="58"/>
        <v>61 ปี  8 เดือน  29 วัน</v>
      </c>
      <c r="M331" s="365">
        <f t="shared" si="54"/>
        <v>600</v>
      </c>
      <c r="N331" s="365"/>
      <c r="O331" s="403" t="s">
        <v>1202</v>
      </c>
      <c r="P331" s="42"/>
      <c r="Q331" s="101"/>
      <c r="R331" s="114">
        <v>76</v>
      </c>
      <c r="S331" s="96">
        <f>COUNTIF(I298:I330,"76")</f>
        <v>0</v>
      </c>
      <c r="T331" s="101"/>
      <c r="U331" s="101"/>
      <c r="V331" s="101"/>
      <c r="W331" s="119"/>
      <c r="X331" s="57"/>
    </row>
    <row r="332" spans="1:24" s="57" customFormat="1" ht="21">
      <c r="A332" s="446">
        <v>324</v>
      </c>
      <c r="B332" s="358" t="s">
        <v>30</v>
      </c>
      <c r="C332" s="382" t="s">
        <v>1318</v>
      </c>
      <c r="D332" s="383" t="s">
        <v>754</v>
      </c>
      <c r="E332" s="361" t="s">
        <v>179</v>
      </c>
      <c r="F332" s="362" t="s">
        <v>265</v>
      </c>
      <c r="G332" s="363" t="s">
        <v>1319</v>
      </c>
      <c r="H332" s="364">
        <v>218418</v>
      </c>
      <c r="I332" s="307">
        <f t="shared" si="55"/>
        <v>61</v>
      </c>
      <c r="J332" s="306">
        <f t="shared" si="56"/>
        <v>8</v>
      </c>
      <c r="K332" s="306">
        <f t="shared" si="57"/>
        <v>29</v>
      </c>
      <c r="L332" s="306" t="str">
        <f t="shared" si="58"/>
        <v>61 ปี  8 เดือน  29 วัน</v>
      </c>
      <c r="M332" s="365">
        <f t="shared" si="54"/>
        <v>600</v>
      </c>
      <c r="N332" s="365"/>
      <c r="O332" s="403" t="s">
        <v>1202</v>
      </c>
      <c r="P332" s="42"/>
      <c r="Q332" s="101"/>
      <c r="R332" s="114">
        <v>77</v>
      </c>
      <c r="S332" s="96">
        <f>COUNTIF(I298:I330,"77")</f>
        <v>0</v>
      </c>
      <c r="T332" s="101"/>
      <c r="U332" s="101"/>
      <c r="V332" s="101"/>
      <c r="W332" s="101"/>
      <c r="X332" s="42"/>
    </row>
    <row r="333" spans="1:24" s="57" customFormat="1" ht="21">
      <c r="A333" s="446">
        <v>325</v>
      </c>
      <c r="B333" s="358" t="s">
        <v>30</v>
      </c>
      <c r="C333" s="382" t="s">
        <v>198</v>
      </c>
      <c r="D333" s="383" t="s">
        <v>1320</v>
      </c>
      <c r="E333" s="361" t="s">
        <v>1321</v>
      </c>
      <c r="F333" s="362" t="s">
        <v>265</v>
      </c>
      <c r="G333" s="363" t="s">
        <v>1322</v>
      </c>
      <c r="H333" s="364">
        <v>218418</v>
      </c>
      <c r="I333" s="307">
        <f t="shared" si="55"/>
        <v>61</v>
      </c>
      <c r="J333" s="306">
        <f t="shared" si="56"/>
        <v>8</v>
      </c>
      <c r="K333" s="306">
        <f t="shared" si="57"/>
        <v>29</v>
      </c>
      <c r="L333" s="306" t="str">
        <f t="shared" si="58"/>
        <v>61 ปี  8 เดือน  29 วัน</v>
      </c>
      <c r="M333" s="365">
        <f t="shared" si="54"/>
        <v>600</v>
      </c>
      <c r="N333" s="365"/>
      <c r="O333" s="403" t="s">
        <v>1202</v>
      </c>
      <c r="P333" s="42"/>
      <c r="Q333" s="101"/>
      <c r="R333" s="114">
        <v>78</v>
      </c>
      <c r="S333" s="96">
        <f>COUNTIF(I298:I330,"78")</f>
        <v>0</v>
      </c>
      <c r="T333" s="101"/>
      <c r="U333" s="101"/>
      <c r="V333" s="101"/>
      <c r="W333" s="101"/>
      <c r="X333" s="42"/>
    </row>
    <row r="334" spans="1:24" s="57" customFormat="1" ht="21">
      <c r="A334" s="446">
        <v>326</v>
      </c>
      <c r="B334" s="358" t="s">
        <v>30</v>
      </c>
      <c r="C334" s="382" t="s">
        <v>38</v>
      </c>
      <c r="D334" s="383" t="s">
        <v>751</v>
      </c>
      <c r="E334" s="361" t="s">
        <v>126</v>
      </c>
      <c r="F334" s="362" t="s">
        <v>265</v>
      </c>
      <c r="G334" s="363">
        <v>3730600593523</v>
      </c>
      <c r="H334" s="364">
        <v>218729</v>
      </c>
      <c r="I334" s="306">
        <f t="shared" si="55"/>
        <v>60</v>
      </c>
      <c r="J334" s="306">
        <f t="shared" si="56"/>
        <v>10</v>
      </c>
      <c r="K334" s="306">
        <f t="shared" si="57"/>
        <v>22</v>
      </c>
      <c r="L334" s="306" t="str">
        <f t="shared" si="58"/>
        <v>60 ปี  10 เดือน  22 วัน</v>
      </c>
      <c r="M334" s="365">
        <f t="shared" si="54"/>
        <v>600</v>
      </c>
      <c r="N334" s="365"/>
      <c r="O334" s="393" t="s">
        <v>1500</v>
      </c>
      <c r="P334" s="42"/>
      <c r="Q334" s="101"/>
      <c r="R334" s="114">
        <v>79</v>
      </c>
      <c r="S334" s="96">
        <f>COUNTIF(I298:I330,"79")</f>
        <v>0</v>
      </c>
      <c r="T334" s="101"/>
      <c r="U334" s="101"/>
      <c r="V334" s="101"/>
      <c r="W334" s="101"/>
      <c r="X334" s="42"/>
    </row>
    <row r="335" spans="1:24" s="57" customFormat="1" ht="21">
      <c r="A335" s="446">
        <v>327</v>
      </c>
      <c r="B335" s="358" t="s">
        <v>30</v>
      </c>
      <c r="C335" s="382" t="s">
        <v>54</v>
      </c>
      <c r="D335" s="383" t="s">
        <v>1501</v>
      </c>
      <c r="E335" s="361" t="s">
        <v>1502</v>
      </c>
      <c r="F335" s="362" t="s">
        <v>265</v>
      </c>
      <c r="G335" s="363">
        <v>3110400534481</v>
      </c>
      <c r="H335" s="364">
        <v>215676</v>
      </c>
      <c r="I335" s="306">
        <f t="shared" si="55"/>
        <v>69</v>
      </c>
      <c r="J335" s="306">
        <f t="shared" si="56"/>
        <v>3</v>
      </c>
      <c r="K335" s="306">
        <f t="shared" si="57"/>
        <v>0</v>
      </c>
      <c r="L335" s="306" t="str">
        <f t="shared" si="58"/>
        <v>69 ปี  3 เดือน  0 วัน</v>
      </c>
      <c r="M335" s="365">
        <f t="shared" si="54"/>
        <v>600</v>
      </c>
      <c r="N335" s="365"/>
      <c r="O335" s="393" t="s">
        <v>1500</v>
      </c>
      <c r="P335" s="42"/>
      <c r="Q335" s="101"/>
      <c r="R335" s="117">
        <v>80</v>
      </c>
      <c r="S335" s="118">
        <f>COUNTIF(I298:I330,"80")</f>
        <v>0</v>
      </c>
      <c r="T335" s="101"/>
      <c r="U335" s="101"/>
      <c r="V335" s="101"/>
      <c r="W335" s="101"/>
      <c r="X335" s="42"/>
    </row>
    <row r="336" spans="1:24" s="57" customFormat="1" ht="21">
      <c r="A336" s="446">
        <v>328</v>
      </c>
      <c r="B336" s="358" t="s">
        <v>30</v>
      </c>
      <c r="C336" s="382" t="s">
        <v>83</v>
      </c>
      <c r="D336" s="383" t="s">
        <v>743</v>
      </c>
      <c r="E336" s="361" t="s">
        <v>183</v>
      </c>
      <c r="F336" s="362" t="s">
        <v>265</v>
      </c>
      <c r="G336" s="363">
        <v>3730600596492</v>
      </c>
      <c r="H336" s="364">
        <v>219051</v>
      </c>
      <c r="I336" s="306">
        <f t="shared" si="55"/>
        <v>60</v>
      </c>
      <c r="J336" s="306">
        <f t="shared" si="56"/>
        <v>0</v>
      </c>
      <c r="K336" s="306">
        <f t="shared" si="57"/>
        <v>4</v>
      </c>
      <c r="L336" s="306" t="str">
        <f t="shared" si="58"/>
        <v>60 ปี  0 เดือน  4 วัน</v>
      </c>
      <c r="M336" s="365">
        <f t="shared" si="54"/>
        <v>600</v>
      </c>
      <c r="N336" s="365"/>
      <c r="O336" s="393" t="s">
        <v>1500</v>
      </c>
      <c r="P336" s="42"/>
      <c r="Q336" s="101"/>
      <c r="R336" s="114">
        <v>81</v>
      </c>
      <c r="S336" s="96">
        <f>COUNTIF(I298:I330,"81")</f>
        <v>0</v>
      </c>
      <c r="T336" s="101"/>
      <c r="U336" s="101"/>
      <c r="V336" s="101"/>
      <c r="W336" s="101"/>
      <c r="X336" s="42"/>
    </row>
    <row r="337" spans="1:24" s="57" customFormat="1" ht="21">
      <c r="A337" s="446">
        <v>329</v>
      </c>
      <c r="B337" s="358" t="s">
        <v>31</v>
      </c>
      <c r="C337" s="382" t="s">
        <v>143</v>
      </c>
      <c r="D337" s="383" t="s">
        <v>693</v>
      </c>
      <c r="E337" s="361" t="s">
        <v>1503</v>
      </c>
      <c r="F337" s="362" t="s">
        <v>265</v>
      </c>
      <c r="G337" s="363">
        <v>3730600591750</v>
      </c>
      <c r="H337" s="364">
        <v>218475</v>
      </c>
      <c r="I337" s="306">
        <f t="shared" si="55"/>
        <v>61</v>
      </c>
      <c r="J337" s="306">
        <f t="shared" si="56"/>
        <v>7</v>
      </c>
      <c r="K337" s="306">
        <f t="shared" si="57"/>
        <v>3</v>
      </c>
      <c r="L337" s="306" t="str">
        <f t="shared" si="58"/>
        <v>61 ปี  7 เดือน  3 วัน</v>
      </c>
      <c r="M337" s="365">
        <f t="shared" si="54"/>
        <v>600</v>
      </c>
      <c r="N337" s="365"/>
      <c r="O337" s="393" t="s">
        <v>1500</v>
      </c>
      <c r="P337" s="42"/>
      <c r="Q337" s="101"/>
      <c r="R337" s="114">
        <v>82</v>
      </c>
      <c r="S337" s="96">
        <f>COUNTIF(I298:I330,"82")</f>
        <v>0</v>
      </c>
      <c r="T337" s="101"/>
      <c r="U337" s="101"/>
      <c r="V337" s="101"/>
      <c r="W337" s="101"/>
      <c r="X337" s="42"/>
    </row>
    <row r="338" spans="1:24" s="57" customFormat="1" ht="21">
      <c r="A338" s="446">
        <v>330</v>
      </c>
      <c r="B338" s="358" t="s">
        <v>30</v>
      </c>
      <c r="C338" s="382" t="s">
        <v>1504</v>
      </c>
      <c r="D338" s="383" t="s">
        <v>348</v>
      </c>
      <c r="E338" s="361" t="s">
        <v>95</v>
      </c>
      <c r="F338" s="362" t="s">
        <v>265</v>
      </c>
      <c r="G338" s="363">
        <v>3730600589577</v>
      </c>
      <c r="H338" s="364">
        <v>218919</v>
      </c>
      <c r="I338" s="306">
        <f t="shared" si="55"/>
        <v>60</v>
      </c>
      <c r="J338" s="306">
        <f t="shared" si="56"/>
        <v>4</v>
      </c>
      <c r="K338" s="306">
        <f t="shared" si="57"/>
        <v>13</v>
      </c>
      <c r="L338" s="306" t="str">
        <f t="shared" si="58"/>
        <v>60 ปี  4 เดือน  13 วัน</v>
      </c>
      <c r="M338" s="365">
        <f t="shared" si="54"/>
        <v>600</v>
      </c>
      <c r="N338" s="365"/>
      <c r="O338" s="393" t="s">
        <v>1500</v>
      </c>
      <c r="P338" s="42"/>
      <c r="Q338" s="101"/>
      <c r="R338" s="114">
        <v>83</v>
      </c>
      <c r="S338" s="96">
        <f>COUNTIF(I298:I330,"83")</f>
        <v>0</v>
      </c>
      <c r="T338" s="101"/>
      <c r="U338" s="101"/>
      <c r="V338" s="101"/>
      <c r="W338" s="101"/>
      <c r="X338" s="42"/>
    </row>
    <row r="339" spans="1:24" s="57" customFormat="1" ht="21">
      <c r="A339" s="446">
        <v>331</v>
      </c>
      <c r="B339" s="358" t="s">
        <v>30</v>
      </c>
      <c r="C339" s="382" t="s">
        <v>1505</v>
      </c>
      <c r="D339" s="383" t="s">
        <v>772</v>
      </c>
      <c r="E339" s="361" t="s">
        <v>80</v>
      </c>
      <c r="F339" s="362" t="s">
        <v>265</v>
      </c>
      <c r="G339" s="363">
        <v>3120300146292</v>
      </c>
      <c r="H339" s="364">
        <v>218904</v>
      </c>
      <c r="I339" s="306">
        <f t="shared" si="55"/>
        <v>60</v>
      </c>
      <c r="J339" s="306">
        <f t="shared" si="56"/>
        <v>4</v>
      </c>
      <c r="K339" s="306">
        <f t="shared" si="57"/>
        <v>28</v>
      </c>
      <c r="L339" s="306" t="str">
        <f t="shared" si="58"/>
        <v>60 ปี  4 เดือน  28 วัน</v>
      </c>
      <c r="M339" s="365">
        <f t="shared" si="54"/>
        <v>600</v>
      </c>
      <c r="N339" s="365"/>
      <c r="O339" s="393" t="s">
        <v>1500</v>
      </c>
      <c r="P339" s="42"/>
      <c r="Q339" s="101" t="s">
        <v>1387</v>
      </c>
      <c r="R339" s="114">
        <v>84</v>
      </c>
      <c r="S339" s="96">
        <f>COUNTIF(I298:I330,"84")</f>
        <v>0</v>
      </c>
      <c r="T339" s="101"/>
      <c r="U339" s="101"/>
      <c r="V339" s="101"/>
      <c r="W339" s="101"/>
      <c r="X339" s="42"/>
    </row>
    <row r="340" spans="1:24" s="57" customFormat="1" ht="21">
      <c r="A340" s="446">
        <v>332</v>
      </c>
      <c r="B340" s="358" t="s">
        <v>32</v>
      </c>
      <c r="C340" s="382" t="s">
        <v>86</v>
      </c>
      <c r="D340" s="383" t="s">
        <v>1142</v>
      </c>
      <c r="E340" s="361" t="s">
        <v>350</v>
      </c>
      <c r="F340" s="362" t="s">
        <v>265</v>
      </c>
      <c r="G340" s="363">
        <v>3730600969710</v>
      </c>
      <c r="H340" s="364">
        <v>218933</v>
      </c>
      <c r="I340" s="306">
        <f t="shared" si="55"/>
        <v>60</v>
      </c>
      <c r="J340" s="306">
        <f t="shared" si="56"/>
        <v>3</v>
      </c>
      <c r="K340" s="306">
        <f t="shared" si="57"/>
        <v>30</v>
      </c>
      <c r="L340" s="306" t="str">
        <f t="shared" si="58"/>
        <v>60 ปี  3 เดือน  30 วัน</v>
      </c>
      <c r="M340" s="365">
        <f t="shared" si="54"/>
        <v>600</v>
      </c>
      <c r="N340" s="365"/>
      <c r="O340" s="393" t="s">
        <v>1500</v>
      </c>
      <c r="Q340" s="101"/>
      <c r="R340" s="114">
        <v>85</v>
      </c>
      <c r="S340" s="96">
        <f>COUNTIF(I298:I330,"85")</f>
        <v>0</v>
      </c>
      <c r="T340" s="101"/>
      <c r="U340" s="101"/>
      <c r="V340" s="101"/>
      <c r="W340" s="101"/>
      <c r="X340" s="42"/>
    </row>
    <row r="341" spans="1:24" s="57" customFormat="1" ht="21">
      <c r="A341" s="446">
        <v>333</v>
      </c>
      <c r="B341" s="358" t="s">
        <v>30</v>
      </c>
      <c r="C341" s="382" t="s">
        <v>1421</v>
      </c>
      <c r="D341" s="383" t="s">
        <v>700</v>
      </c>
      <c r="E341" s="361" t="s">
        <v>94</v>
      </c>
      <c r="F341" s="362" t="s">
        <v>265</v>
      </c>
      <c r="G341" s="363">
        <v>3730600584044</v>
      </c>
      <c r="H341" s="364">
        <v>219044</v>
      </c>
      <c r="I341" s="306">
        <f t="shared" si="55"/>
        <v>60</v>
      </c>
      <c r="J341" s="306">
        <f t="shared" si="56"/>
        <v>0</v>
      </c>
      <c r="K341" s="306">
        <f t="shared" si="57"/>
        <v>11</v>
      </c>
      <c r="L341" s="306" t="str">
        <f t="shared" si="58"/>
        <v>60 ปี  0 เดือน  11 วัน</v>
      </c>
      <c r="M341" s="365">
        <f t="shared" si="54"/>
        <v>600</v>
      </c>
      <c r="N341" s="384"/>
      <c r="O341" s="393" t="s">
        <v>1500</v>
      </c>
      <c r="P341" s="42"/>
      <c r="Q341" s="101"/>
      <c r="R341" s="114">
        <v>86</v>
      </c>
      <c r="S341" s="96">
        <f>COUNTIF(I298:I330,"86")</f>
        <v>0</v>
      </c>
      <c r="T341" s="101"/>
      <c r="U341" s="101"/>
      <c r="V341" s="101"/>
      <c r="W341" s="101"/>
      <c r="X341" s="42"/>
    </row>
    <row r="342" spans="1:24" s="57" customFormat="1" ht="21">
      <c r="A342" s="446">
        <v>334</v>
      </c>
      <c r="B342" s="358" t="s">
        <v>32</v>
      </c>
      <c r="C342" s="382" t="s">
        <v>740</v>
      </c>
      <c r="D342" s="383" t="s">
        <v>774</v>
      </c>
      <c r="E342" s="361" t="s">
        <v>66</v>
      </c>
      <c r="F342" s="362">
        <v>4</v>
      </c>
      <c r="G342" s="363">
        <v>3730600596760</v>
      </c>
      <c r="H342" s="364">
        <v>215861</v>
      </c>
      <c r="I342" s="307">
        <f t="shared" si="55"/>
        <v>68</v>
      </c>
      <c r="J342" s="306">
        <f t="shared" si="56"/>
        <v>8</v>
      </c>
      <c r="K342" s="306">
        <f t="shared" si="57"/>
        <v>29</v>
      </c>
      <c r="L342" s="306" t="str">
        <f t="shared" si="58"/>
        <v>68 ปี  8 เดือน  29 วัน</v>
      </c>
      <c r="M342" s="365">
        <f t="shared" si="54"/>
        <v>600</v>
      </c>
      <c r="N342" s="365"/>
      <c r="O342" s="379"/>
      <c r="P342" s="42"/>
      <c r="Q342" s="101"/>
      <c r="R342" s="114">
        <v>87</v>
      </c>
      <c r="S342" s="96">
        <f>COUNTIF(I298:I330,"87")</f>
        <v>0</v>
      </c>
      <c r="T342" s="101"/>
      <c r="U342" s="101"/>
      <c r="V342" s="101"/>
      <c r="W342" s="101"/>
      <c r="X342" s="42"/>
    </row>
    <row r="343" spans="1:24" s="57" customFormat="1" ht="21">
      <c r="A343" s="446">
        <v>335</v>
      </c>
      <c r="B343" s="358" t="s">
        <v>30</v>
      </c>
      <c r="C343" s="382" t="s">
        <v>602</v>
      </c>
      <c r="D343" s="383" t="s">
        <v>775</v>
      </c>
      <c r="E343" s="361" t="s">
        <v>61</v>
      </c>
      <c r="F343" s="362">
        <v>4</v>
      </c>
      <c r="G343" s="363">
        <v>3730600595241</v>
      </c>
      <c r="H343" s="364">
        <v>216226</v>
      </c>
      <c r="I343" s="422">
        <f t="shared" si="55"/>
        <v>67</v>
      </c>
      <c r="J343" s="423">
        <f t="shared" si="56"/>
        <v>8</v>
      </c>
      <c r="K343" s="423">
        <f t="shared" si="57"/>
        <v>29</v>
      </c>
      <c r="L343" s="423" t="str">
        <f t="shared" si="58"/>
        <v>67 ปี  8 เดือน  29 วัน</v>
      </c>
      <c r="M343" s="365">
        <f t="shared" si="54"/>
        <v>600</v>
      </c>
      <c r="N343" s="365"/>
      <c r="O343" s="379"/>
      <c r="P343" s="42"/>
      <c r="Q343" s="101"/>
      <c r="R343" s="114">
        <v>88</v>
      </c>
      <c r="S343" s="96">
        <f>COUNTIF(I298:I330,"88")</f>
        <v>0</v>
      </c>
      <c r="T343" s="101"/>
      <c r="U343" s="101"/>
      <c r="V343" s="101"/>
      <c r="W343" s="101"/>
      <c r="X343" s="42"/>
    </row>
    <row r="344" spans="1:23" s="57" customFormat="1" ht="21">
      <c r="A344" s="446">
        <v>336</v>
      </c>
      <c r="B344" s="358" t="s">
        <v>31</v>
      </c>
      <c r="C344" s="382" t="s">
        <v>141</v>
      </c>
      <c r="D344" s="383" t="s">
        <v>776</v>
      </c>
      <c r="E344" s="361" t="s">
        <v>77</v>
      </c>
      <c r="F344" s="362">
        <v>4</v>
      </c>
      <c r="G344" s="363">
        <v>3730600263710</v>
      </c>
      <c r="H344" s="364">
        <v>216226</v>
      </c>
      <c r="I344" s="422">
        <f t="shared" si="55"/>
        <v>67</v>
      </c>
      <c r="J344" s="423">
        <f t="shared" si="56"/>
        <v>8</v>
      </c>
      <c r="K344" s="423">
        <f t="shared" si="57"/>
        <v>29</v>
      </c>
      <c r="L344" s="423" t="str">
        <f t="shared" si="58"/>
        <v>67 ปี  8 เดือน  29 วัน</v>
      </c>
      <c r="M344" s="365">
        <f aca="true" t="shared" si="59" ref="M344:M375">IF(I344&lt;=69,600,IF(I344&lt;=79,700,IF(I344&lt;=89,800,IF(I344&gt;=90,1000))))</f>
        <v>600</v>
      </c>
      <c r="N344" s="365"/>
      <c r="O344" s="379"/>
      <c r="P344" s="42"/>
      <c r="Q344" s="101"/>
      <c r="R344" s="114">
        <v>89</v>
      </c>
      <c r="S344" s="96">
        <f>COUNTIF(I298:I330,"89")</f>
        <v>0</v>
      </c>
      <c r="T344" s="119"/>
      <c r="U344" s="119"/>
      <c r="V344" s="119"/>
      <c r="W344" s="101"/>
    </row>
    <row r="345" spans="1:24" s="57" customFormat="1" ht="21">
      <c r="A345" s="446">
        <v>337</v>
      </c>
      <c r="B345" s="358" t="s">
        <v>31</v>
      </c>
      <c r="C345" s="382" t="s">
        <v>777</v>
      </c>
      <c r="D345" s="383" t="s">
        <v>778</v>
      </c>
      <c r="E345" s="361" t="s">
        <v>781</v>
      </c>
      <c r="F345" s="362">
        <v>4</v>
      </c>
      <c r="G345" s="363">
        <v>3730600595615</v>
      </c>
      <c r="H345" s="364">
        <v>215444</v>
      </c>
      <c r="I345" s="422">
        <f t="shared" si="55"/>
        <v>69</v>
      </c>
      <c r="J345" s="423">
        <f t="shared" si="56"/>
        <v>10</v>
      </c>
      <c r="K345" s="423">
        <f t="shared" si="57"/>
        <v>20</v>
      </c>
      <c r="L345" s="423" t="str">
        <f t="shared" si="58"/>
        <v>69 ปี  10 เดือน  20 วัน</v>
      </c>
      <c r="M345" s="365">
        <f t="shared" si="59"/>
        <v>600</v>
      </c>
      <c r="N345" s="365"/>
      <c r="O345" s="379"/>
      <c r="P345" s="42"/>
      <c r="Q345" s="101"/>
      <c r="R345" s="117">
        <v>90</v>
      </c>
      <c r="S345" s="118">
        <f>COUNTIF(I298:I330,"90")</f>
        <v>0</v>
      </c>
      <c r="T345" s="101"/>
      <c r="U345" s="101"/>
      <c r="V345" s="101"/>
      <c r="W345" s="101"/>
      <c r="X345" s="42"/>
    </row>
    <row r="346" spans="1:24" s="57" customFormat="1" ht="21">
      <c r="A346" s="446">
        <v>338</v>
      </c>
      <c r="B346" s="358" t="s">
        <v>31</v>
      </c>
      <c r="C346" s="382" t="s">
        <v>779</v>
      </c>
      <c r="D346" s="383" t="s">
        <v>780</v>
      </c>
      <c r="E346" s="361" t="s">
        <v>64</v>
      </c>
      <c r="F346" s="362">
        <v>4</v>
      </c>
      <c r="G346" s="363">
        <v>3730600596581</v>
      </c>
      <c r="H346" s="364">
        <v>215496</v>
      </c>
      <c r="I346" s="422">
        <f t="shared" si="55"/>
        <v>69</v>
      </c>
      <c r="J346" s="423">
        <f t="shared" si="56"/>
        <v>8</v>
      </c>
      <c r="K346" s="423">
        <f t="shared" si="57"/>
        <v>29</v>
      </c>
      <c r="L346" s="423" t="str">
        <f t="shared" si="58"/>
        <v>69 ปี  8 เดือน  29 วัน</v>
      </c>
      <c r="M346" s="365">
        <f t="shared" si="59"/>
        <v>600</v>
      </c>
      <c r="N346" s="365"/>
      <c r="O346" s="379"/>
      <c r="P346" s="42"/>
      <c r="Q346" s="101"/>
      <c r="R346" s="114">
        <v>91</v>
      </c>
      <c r="S346" s="96">
        <f>COUNTIF(I298:I330,"91")</f>
        <v>0</v>
      </c>
      <c r="T346" s="101"/>
      <c r="U346" s="101"/>
      <c r="V346" s="101"/>
      <c r="W346" s="101"/>
      <c r="X346" s="42"/>
    </row>
    <row r="347" spans="1:24" s="57" customFormat="1" ht="21">
      <c r="A347" s="446">
        <v>339</v>
      </c>
      <c r="B347" s="358" t="s">
        <v>32</v>
      </c>
      <c r="C347" s="382" t="s">
        <v>380</v>
      </c>
      <c r="D347" s="383" t="s">
        <v>343</v>
      </c>
      <c r="E347" s="361" t="s">
        <v>782</v>
      </c>
      <c r="F347" s="362">
        <v>4</v>
      </c>
      <c r="G347" s="363">
        <v>3730600591873</v>
      </c>
      <c r="H347" s="364">
        <v>215807</v>
      </c>
      <c r="I347" s="422">
        <f t="shared" si="55"/>
        <v>68</v>
      </c>
      <c r="J347" s="423">
        <f t="shared" si="56"/>
        <v>10</v>
      </c>
      <c r="K347" s="423">
        <f t="shared" si="57"/>
        <v>22</v>
      </c>
      <c r="L347" s="423" t="str">
        <f t="shared" si="58"/>
        <v>68 ปี  10 เดือน  22 วัน</v>
      </c>
      <c r="M347" s="365">
        <f t="shared" si="59"/>
        <v>600</v>
      </c>
      <c r="N347" s="365"/>
      <c r="O347" s="379"/>
      <c r="P347" s="42"/>
      <c r="Q347" s="101"/>
      <c r="R347" s="114">
        <v>92</v>
      </c>
      <c r="S347" s="96">
        <f>COUNTIF(I298:I330,"92")</f>
        <v>0</v>
      </c>
      <c r="T347" s="101"/>
      <c r="U347" s="101"/>
      <c r="V347" s="101"/>
      <c r="W347" s="101"/>
      <c r="X347" s="42"/>
    </row>
    <row r="348" spans="1:19" ht="21">
      <c r="A348" s="446">
        <v>340</v>
      </c>
      <c r="B348" s="358" t="s">
        <v>30</v>
      </c>
      <c r="C348" s="382" t="s">
        <v>152</v>
      </c>
      <c r="D348" s="383" t="s">
        <v>783</v>
      </c>
      <c r="E348" s="361" t="s">
        <v>352</v>
      </c>
      <c r="F348" s="362">
        <v>4</v>
      </c>
      <c r="G348" s="363">
        <v>3730600595844</v>
      </c>
      <c r="H348" s="364">
        <v>216379</v>
      </c>
      <c r="I348" s="422">
        <f t="shared" si="55"/>
        <v>67</v>
      </c>
      <c r="J348" s="423">
        <f t="shared" si="56"/>
        <v>3</v>
      </c>
      <c r="K348" s="423">
        <f t="shared" si="57"/>
        <v>28</v>
      </c>
      <c r="L348" s="423" t="str">
        <f t="shared" si="58"/>
        <v>67 ปี  3 เดือน  28 วัน</v>
      </c>
      <c r="M348" s="365">
        <f t="shared" si="59"/>
        <v>600</v>
      </c>
      <c r="N348" s="365"/>
      <c r="O348" s="379"/>
      <c r="R348" s="114">
        <v>93</v>
      </c>
      <c r="S348" s="96">
        <f>COUNTIF(I298:I330,"93")</f>
        <v>0</v>
      </c>
    </row>
    <row r="349" spans="1:19" ht="21">
      <c r="A349" s="446">
        <v>341</v>
      </c>
      <c r="B349" s="358" t="s">
        <v>32</v>
      </c>
      <c r="C349" s="382" t="s">
        <v>784</v>
      </c>
      <c r="D349" s="383" t="s">
        <v>785</v>
      </c>
      <c r="E349" s="361" t="s">
        <v>98</v>
      </c>
      <c r="F349" s="362">
        <v>4</v>
      </c>
      <c r="G349" s="363">
        <v>3730600594643</v>
      </c>
      <c r="H349" s="364">
        <v>216591</v>
      </c>
      <c r="I349" s="422">
        <f t="shared" si="55"/>
        <v>66</v>
      </c>
      <c r="J349" s="423">
        <f t="shared" si="56"/>
        <v>8</v>
      </c>
      <c r="K349" s="423">
        <f t="shared" si="57"/>
        <v>30</v>
      </c>
      <c r="L349" s="423" t="str">
        <f t="shared" si="58"/>
        <v>66 ปี  8 เดือน  30 วัน</v>
      </c>
      <c r="M349" s="365">
        <f t="shared" si="59"/>
        <v>600</v>
      </c>
      <c r="N349" s="365"/>
      <c r="O349" s="379"/>
      <c r="R349" s="114">
        <v>94</v>
      </c>
      <c r="S349" s="96">
        <f>COUNTIF(I298:I330,"94")</f>
        <v>0</v>
      </c>
    </row>
    <row r="350" spans="1:19" ht="21">
      <c r="A350" s="446">
        <v>342</v>
      </c>
      <c r="B350" s="411" t="s">
        <v>31</v>
      </c>
      <c r="C350" s="461" t="s">
        <v>56</v>
      </c>
      <c r="D350" s="462" t="s">
        <v>786</v>
      </c>
      <c r="E350" s="414" t="s">
        <v>175</v>
      </c>
      <c r="F350" s="415">
        <v>4</v>
      </c>
      <c r="G350" s="416">
        <v>3730600597006</v>
      </c>
      <c r="H350" s="417">
        <v>216938</v>
      </c>
      <c r="I350" s="418">
        <f t="shared" si="55"/>
        <v>65</v>
      </c>
      <c r="J350" s="419">
        <f t="shared" si="56"/>
        <v>9</v>
      </c>
      <c r="K350" s="419">
        <f t="shared" si="57"/>
        <v>17</v>
      </c>
      <c r="L350" s="419" t="str">
        <f t="shared" si="58"/>
        <v>65 ปี  9 เดือน  17 วัน</v>
      </c>
      <c r="M350" s="460">
        <f t="shared" si="59"/>
        <v>600</v>
      </c>
      <c r="N350" s="460"/>
      <c r="O350" s="379" t="s">
        <v>1548</v>
      </c>
      <c r="R350" s="114">
        <v>95</v>
      </c>
      <c r="S350" s="96">
        <f>COUNTIF(I298:I330,"95")</f>
        <v>0</v>
      </c>
    </row>
    <row r="351" spans="1:24" s="57" customFormat="1" ht="21">
      <c r="A351" s="446">
        <v>343</v>
      </c>
      <c r="B351" s="358" t="s">
        <v>31</v>
      </c>
      <c r="C351" s="382" t="s">
        <v>787</v>
      </c>
      <c r="D351" s="383" t="s">
        <v>788</v>
      </c>
      <c r="E351" s="361" t="s">
        <v>789</v>
      </c>
      <c r="F351" s="362" t="s">
        <v>268</v>
      </c>
      <c r="G351" s="363">
        <v>3700500879506</v>
      </c>
      <c r="H351" s="364">
        <v>216957</v>
      </c>
      <c r="I351" s="422">
        <f t="shared" si="55"/>
        <v>65</v>
      </c>
      <c r="J351" s="423">
        <f t="shared" si="56"/>
        <v>8</v>
      </c>
      <c r="K351" s="423">
        <f t="shared" si="57"/>
        <v>29</v>
      </c>
      <c r="L351" s="423" t="str">
        <f t="shared" si="58"/>
        <v>65 ปี  8 เดือน  29 วัน</v>
      </c>
      <c r="M351" s="365">
        <f t="shared" si="59"/>
        <v>600</v>
      </c>
      <c r="N351" s="427"/>
      <c r="O351" s="379"/>
      <c r="P351" s="42"/>
      <c r="Q351" s="101"/>
      <c r="R351" s="114">
        <v>96</v>
      </c>
      <c r="S351" s="96">
        <f>COUNTIF(I298:I330,"96")</f>
        <v>0</v>
      </c>
      <c r="T351" s="101"/>
      <c r="U351" s="101"/>
      <c r="V351" s="101"/>
      <c r="W351" s="101"/>
      <c r="X351" s="42"/>
    </row>
    <row r="352" spans="1:19" ht="21">
      <c r="A352" s="446">
        <v>344</v>
      </c>
      <c r="B352" s="358" t="s">
        <v>30</v>
      </c>
      <c r="C352" s="382" t="s">
        <v>790</v>
      </c>
      <c r="D352" s="383" t="s">
        <v>791</v>
      </c>
      <c r="E352" s="361" t="s">
        <v>622</v>
      </c>
      <c r="F352" s="362">
        <v>4</v>
      </c>
      <c r="G352" s="363">
        <v>3730600594252</v>
      </c>
      <c r="H352" s="364">
        <v>217165</v>
      </c>
      <c r="I352" s="422">
        <f t="shared" si="55"/>
        <v>65</v>
      </c>
      <c r="J352" s="423">
        <f t="shared" si="56"/>
        <v>2</v>
      </c>
      <c r="K352" s="423">
        <f t="shared" si="57"/>
        <v>2</v>
      </c>
      <c r="L352" s="423" t="str">
        <f t="shared" si="58"/>
        <v>65 ปี  2 เดือน  2 วัน</v>
      </c>
      <c r="M352" s="365">
        <f t="shared" si="59"/>
        <v>600</v>
      </c>
      <c r="N352" s="428"/>
      <c r="O352" s="392"/>
      <c r="R352" s="114">
        <v>97</v>
      </c>
      <c r="S352" s="96">
        <f>COUNTIF(I298:I330,"97")</f>
        <v>0</v>
      </c>
    </row>
    <row r="353" spans="1:19" ht="21">
      <c r="A353" s="446">
        <v>345</v>
      </c>
      <c r="B353" s="358" t="s">
        <v>30</v>
      </c>
      <c r="C353" s="382" t="s">
        <v>792</v>
      </c>
      <c r="D353" s="383" t="s">
        <v>786</v>
      </c>
      <c r="E353" s="361" t="s">
        <v>62</v>
      </c>
      <c r="F353" s="362">
        <v>4</v>
      </c>
      <c r="G353" s="363">
        <v>3730600595941</v>
      </c>
      <c r="H353" s="364">
        <v>216957</v>
      </c>
      <c r="I353" s="422">
        <f t="shared" si="55"/>
        <v>65</v>
      </c>
      <c r="J353" s="423">
        <f t="shared" si="56"/>
        <v>8</v>
      </c>
      <c r="K353" s="423">
        <f t="shared" si="57"/>
        <v>29</v>
      </c>
      <c r="L353" s="423" t="str">
        <f t="shared" si="58"/>
        <v>65 ปี  8 เดือน  29 วัน</v>
      </c>
      <c r="M353" s="365">
        <f t="shared" si="59"/>
        <v>600</v>
      </c>
      <c r="N353" s="365"/>
      <c r="O353" s="379"/>
      <c r="P353" s="42">
        <v>61</v>
      </c>
      <c r="R353" s="114"/>
      <c r="S353" s="96"/>
    </row>
    <row r="354" spans="1:19" ht="21">
      <c r="A354" s="446">
        <v>346</v>
      </c>
      <c r="B354" s="358" t="s">
        <v>31</v>
      </c>
      <c r="C354" s="382" t="s">
        <v>269</v>
      </c>
      <c r="D354" s="383" t="s">
        <v>749</v>
      </c>
      <c r="E354" s="361" t="s">
        <v>794</v>
      </c>
      <c r="F354" s="362">
        <v>4</v>
      </c>
      <c r="G354" s="363">
        <v>3730600597499</v>
      </c>
      <c r="H354" s="364">
        <v>216957</v>
      </c>
      <c r="I354" s="422">
        <f t="shared" si="55"/>
        <v>65</v>
      </c>
      <c r="J354" s="423">
        <f t="shared" si="56"/>
        <v>8</v>
      </c>
      <c r="K354" s="423">
        <f t="shared" si="57"/>
        <v>29</v>
      </c>
      <c r="L354" s="423" t="str">
        <f t="shared" si="58"/>
        <v>65 ปี  8 เดือน  29 วัน</v>
      </c>
      <c r="M354" s="365">
        <f t="shared" si="59"/>
        <v>600</v>
      </c>
      <c r="N354" s="365"/>
      <c r="O354" s="379"/>
      <c r="P354" s="42">
        <v>62</v>
      </c>
      <c r="R354" s="114"/>
      <c r="S354" s="96"/>
    </row>
    <row r="355" spans="1:19" ht="21">
      <c r="A355" s="446">
        <v>347</v>
      </c>
      <c r="B355" s="358" t="s">
        <v>31</v>
      </c>
      <c r="C355" s="382" t="s">
        <v>795</v>
      </c>
      <c r="D355" s="383" t="s">
        <v>796</v>
      </c>
      <c r="E355" s="361" t="s">
        <v>410</v>
      </c>
      <c r="F355" s="362">
        <v>4</v>
      </c>
      <c r="G355" s="363">
        <v>3730600596018</v>
      </c>
      <c r="H355" s="364">
        <v>217841</v>
      </c>
      <c r="I355" s="422">
        <f t="shared" si="55"/>
        <v>63</v>
      </c>
      <c r="J355" s="423">
        <f t="shared" si="56"/>
        <v>3</v>
      </c>
      <c r="K355" s="423">
        <f t="shared" si="57"/>
        <v>27</v>
      </c>
      <c r="L355" s="423" t="str">
        <f t="shared" si="58"/>
        <v>63 ปี  3 เดือน  27 วัน</v>
      </c>
      <c r="M355" s="365">
        <f t="shared" si="59"/>
        <v>600</v>
      </c>
      <c r="N355" s="365"/>
      <c r="O355" s="379"/>
      <c r="P355" s="42">
        <v>63</v>
      </c>
      <c r="R355" s="114"/>
      <c r="S355" s="96"/>
    </row>
    <row r="356" spans="1:19" ht="21">
      <c r="A356" s="446">
        <v>348</v>
      </c>
      <c r="B356" s="358" t="s">
        <v>30</v>
      </c>
      <c r="C356" s="382" t="s">
        <v>205</v>
      </c>
      <c r="D356" s="383" t="s">
        <v>743</v>
      </c>
      <c r="E356" s="361" t="s">
        <v>63</v>
      </c>
      <c r="F356" s="362">
        <v>4</v>
      </c>
      <c r="G356" s="363">
        <v>3730600596484</v>
      </c>
      <c r="H356" s="364">
        <v>217687</v>
      </c>
      <c r="I356" s="422">
        <f t="shared" si="55"/>
        <v>63</v>
      </c>
      <c r="J356" s="423">
        <f t="shared" si="56"/>
        <v>8</v>
      </c>
      <c r="K356" s="423">
        <f t="shared" si="57"/>
        <v>29</v>
      </c>
      <c r="L356" s="423" t="str">
        <f t="shared" si="58"/>
        <v>63 ปี  8 เดือน  29 วัน</v>
      </c>
      <c r="M356" s="365">
        <f t="shared" si="59"/>
        <v>600</v>
      </c>
      <c r="N356" s="365"/>
      <c r="O356" s="379"/>
      <c r="P356" s="42">
        <v>64</v>
      </c>
      <c r="R356" s="114"/>
      <c r="S356" s="96"/>
    </row>
    <row r="357" spans="1:19" ht="21">
      <c r="A357" s="446">
        <v>349</v>
      </c>
      <c r="B357" s="358" t="s">
        <v>32</v>
      </c>
      <c r="C357" s="382" t="s">
        <v>797</v>
      </c>
      <c r="D357" s="383" t="s">
        <v>798</v>
      </c>
      <c r="E357" s="361" t="s">
        <v>799</v>
      </c>
      <c r="F357" s="362">
        <v>4</v>
      </c>
      <c r="G357" s="363">
        <v>3220100048547</v>
      </c>
      <c r="H357" s="364">
        <v>217696</v>
      </c>
      <c r="I357" s="422">
        <f t="shared" si="55"/>
        <v>63</v>
      </c>
      <c r="J357" s="423">
        <f t="shared" si="56"/>
        <v>8</v>
      </c>
      <c r="K357" s="423">
        <f t="shared" si="57"/>
        <v>20</v>
      </c>
      <c r="L357" s="423" t="str">
        <f t="shared" si="58"/>
        <v>63 ปี  8 เดือน  20 วัน</v>
      </c>
      <c r="M357" s="365">
        <f t="shared" si="59"/>
        <v>600</v>
      </c>
      <c r="N357" s="365"/>
      <c r="O357" s="410" t="s">
        <v>550</v>
      </c>
      <c r="P357" s="42">
        <v>65</v>
      </c>
      <c r="R357" s="114"/>
      <c r="S357" s="96"/>
    </row>
    <row r="358" spans="1:19" ht="21">
      <c r="A358" s="446">
        <v>350</v>
      </c>
      <c r="B358" s="358" t="s">
        <v>31</v>
      </c>
      <c r="C358" s="382" t="s">
        <v>1323</v>
      </c>
      <c r="D358" s="383" t="s">
        <v>775</v>
      </c>
      <c r="E358" s="361" t="s">
        <v>631</v>
      </c>
      <c r="F358" s="362" t="s">
        <v>268</v>
      </c>
      <c r="G358" s="363" t="s">
        <v>1324</v>
      </c>
      <c r="H358" s="364">
        <v>218365</v>
      </c>
      <c r="I358" s="307">
        <f t="shared" si="55"/>
        <v>61</v>
      </c>
      <c r="J358" s="306">
        <f t="shared" si="56"/>
        <v>10</v>
      </c>
      <c r="K358" s="306">
        <f t="shared" si="57"/>
        <v>21</v>
      </c>
      <c r="L358" s="306" t="str">
        <f t="shared" si="58"/>
        <v>61 ปี  10 เดือน  21 วัน</v>
      </c>
      <c r="M358" s="365">
        <f t="shared" si="59"/>
        <v>600</v>
      </c>
      <c r="N358" s="365"/>
      <c r="O358" s="403" t="s">
        <v>1202</v>
      </c>
      <c r="P358" s="42">
        <v>66</v>
      </c>
      <c r="R358" s="114"/>
      <c r="S358" s="96"/>
    </row>
    <row r="359" spans="1:19" ht="21">
      <c r="A359" s="446">
        <v>351</v>
      </c>
      <c r="B359" s="358" t="s">
        <v>30</v>
      </c>
      <c r="C359" s="382" t="s">
        <v>219</v>
      </c>
      <c r="D359" s="383" t="s">
        <v>786</v>
      </c>
      <c r="E359" s="361" t="s">
        <v>62</v>
      </c>
      <c r="F359" s="362" t="s">
        <v>268</v>
      </c>
      <c r="G359" s="363" t="s">
        <v>1325</v>
      </c>
      <c r="H359" s="364">
        <v>218418</v>
      </c>
      <c r="I359" s="307">
        <f t="shared" si="55"/>
        <v>61</v>
      </c>
      <c r="J359" s="306">
        <f t="shared" si="56"/>
        <v>8</v>
      </c>
      <c r="K359" s="306">
        <f t="shared" si="57"/>
        <v>29</v>
      </c>
      <c r="L359" s="306" t="str">
        <f t="shared" si="58"/>
        <v>61 ปี  8 เดือน  29 วัน</v>
      </c>
      <c r="M359" s="365">
        <f t="shared" si="59"/>
        <v>600</v>
      </c>
      <c r="N359" s="365"/>
      <c r="O359" s="403" t="s">
        <v>1202</v>
      </c>
      <c r="P359" s="42">
        <v>67</v>
      </c>
      <c r="R359" s="114"/>
      <c r="S359" s="96"/>
    </row>
    <row r="360" spans="1:19" ht="21">
      <c r="A360" s="446">
        <v>352</v>
      </c>
      <c r="B360" s="358" t="s">
        <v>30</v>
      </c>
      <c r="C360" s="382" t="s">
        <v>1326</v>
      </c>
      <c r="D360" s="383" t="s">
        <v>1327</v>
      </c>
      <c r="E360" s="361" t="s">
        <v>61</v>
      </c>
      <c r="F360" s="362" t="s">
        <v>268</v>
      </c>
      <c r="G360" s="363" t="s">
        <v>1328</v>
      </c>
      <c r="H360" s="364">
        <v>218497</v>
      </c>
      <c r="I360" s="307">
        <f t="shared" si="55"/>
        <v>61</v>
      </c>
      <c r="J360" s="306">
        <f t="shared" si="56"/>
        <v>6</v>
      </c>
      <c r="K360" s="306">
        <f t="shared" si="57"/>
        <v>9</v>
      </c>
      <c r="L360" s="306" t="str">
        <f t="shared" si="58"/>
        <v>61 ปี  6 เดือน  9 วัน</v>
      </c>
      <c r="M360" s="365">
        <f t="shared" si="59"/>
        <v>600</v>
      </c>
      <c r="N360" s="365"/>
      <c r="O360" s="403" t="s">
        <v>1202</v>
      </c>
      <c r="P360" s="42">
        <v>68</v>
      </c>
      <c r="R360" s="114"/>
      <c r="S360" s="96"/>
    </row>
    <row r="361" spans="1:22" ht="21">
      <c r="A361" s="446">
        <v>353</v>
      </c>
      <c r="B361" s="358" t="s">
        <v>30</v>
      </c>
      <c r="C361" s="382" t="s">
        <v>1506</v>
      </c>
      <c r="D361" s="383" t="s">
        <v>1040</v>
      </c>
      <c r="E361" s="361" t="s">
        <v>102</v>
      </c>
      <c r="F361" s="362" t="s">
        <v>268</v>
      </c>
      <c r="G361" s="363">
        <v>3730600595011</v>
      </c>
      <c r="H361" s="364">
        <v>218716</v>
      </c>
      <c r="I361" s="307">
        <f aca="true" t="shared" si="60" ref="I361:I392">DATEDIF(H361,$S$20,"Y")</f>
        <v>60</v>
      </c>
      <c r="J361" s="306">
        <f aca="true" t="shared" si="61" ref="J361:J392">DATEDIF(H361,$S$20,"YM")</f>
        <v>11</v>
      </c>
      <c r="K361" s="306">
        <f aca="true" t="shared" si="62" ref="K361:K392">DATEDIF(H361,$S$20,"MD")</f>
        <v>4</v>
      </c>
      <c r="L361" s="306" t="str">
        <f aca="true" t="shared" si="63" ref="L361:L392">I361&amp;" ปี  "&amp;J361&amp;" เดือน  "&amp;K361&amp;" วัน"</f>
        <v>60 ปี  11 เดือน  4 วัน</v>
      </c>
      <c r="M361" s="365">
        <f t="shared" si="59"/>
        <v>600</v>
      </c>
      <c r="N361" s="365"/>
      <c r="O361" s="393" t="s">
        <v>1422</v>
      </c>
      <c r="P361" s="57"/>
      <c r="R361" s="111" t="s">
        <v>0</v>
      </c>
      <c r="S361" s="112" t="s">
        <v>22</v>
      </c>
      <c r="U361" s="113" t="s">
        <v>1</v>
      </c>
      <c r="V361" s="113" t="s">
        <v>22</v>
      </c>
    </row>
    <row r="362" spans="1:24" ht="21">
      <c r="A362" s="446">
        <v>354</v>
      </c>
      <c r="B362" s="358" t="s">
        <v>30</v>
      </c>
      <c r="C362" s="382" t="s">
        <v>1507</v>
      </c>
      <c r="D362" s="383" t="s">
        <v>775</v>
      </c>
      <c r="E362" s="361" t="s">
        <v>73</v>
      </c>
      <c r="F362" s="362" t="s">
        <v>268</v>
      </c>
      <c r="G362" s="363">
        <v>3730600595747</v>
      </c>
      <c r="H362" s="364">
        <v>218751</v>
      </c>
      <c r="I362" s="307">
        <f t="shared" si="60"/>
        <v>60</v>
      </c>
      <c r="J362" s="306">
        <f t="shared" si="61"/>
        <v>10</v>
      </c>
      <c r="K362" s="306">
        <f t="shared" si="62"/>
        <v>0</v>
      </c>
      <c r="L362" s="306" t="str">
        <f t="shared" si="63"/>
        <v>60 ปี  10 เดือน  0 วัน</v>
      </c>
      <c r="M362" s="365">
        <f t="shared" si="59"/>
        <v>600</v>
      </c>
      <c r="N362" s="365"/>
      <c r="O362" s="393" t="s">
        <v>1422</v>
      </c>
      <c r="R362" s="114">
        <v>60</v>
      </c>
      <c r="S362" s="98">
        <f>COUNTIF(I342:I357,"60")</f>
        <v>0</v>
      </c>
      <c r="U362" s="115" t="s">
        <v>2</v>
      </c>
      <c r="V362" s="93">
        <f>SUM(S362:S371)</f>
        <v>16</v>
      </c>
      <c r="X362" s="57"/>
    </row>
    <row r="363" spans="1:24" ht="21">
      <c r="A363" s="446">
        <v>355</v>
      </c>
      <c r="B363" s="358" t="s">
        <v>30</v>
      </c>
      <c r="C363" s="382" t="s">
        <v>247</v>
      </c>
      <c r="D363" s="383" t="s">
        <v>646</v>
      </c>
      <c r="E363" s="361" t="s">
        <v>723</v>
      </c>
      <c r="F363" s="362" t="s">
        <v>268</v>
      </c>
      <c r="G363" s="363">
        <v>3730600598191</v>
      </c>
      <c r="H363" s="364">
        <v>219030</v>
      </c>
      <c r="I363" s="307">
        <f t="shared" si="60"/>
        <v>60</v>
      </c>
      <c r="J363" s="306">
        <f t="shared" si="61"/>
        <v>0</v>
      </c>
      <c r="K363" s="306">
        <f t="shared" si="62"/>
        <v>25</v>
      </c>
      <c r="L363" s="306" t="str">
        <f t="shared" si="63"/>
        <v>60 ปี  0 เดือน  25 วัน</v>
      </c>
      <c r="M363" s="365">
        <f t="shared" si="59"/>
        <v>600</v>
      </c>
      <c r="N363" s="365"/>
      <c r="O363" s="393" t="s">
        <v>1422</v>
      </c>
      <c r="P363" s="57"/>
      <c r="R363" s="114">
        <v>61</v>
      </c>
      <c r="S363" s="98">
        <f>COUNTIF(I342:I357,"61")</f>
        <v>0</v>
      </c>
      <c r="U363" s="115" t="s">
        <v>7</v>
      </c>
      <c r="V363" s="93">
        <f>SUM(S372:S376)</f>
        <v>0</v>
      </c>
      <c r="X363" s="57"/>
    </row>
    <row r="364" spans="1:22" ht="21">
      <c r="A364" s="446">
        <v>356</v>
      </c>
      <c r="B364" s="358" t="s">
        <v>30</v>
      </c>
      <c r="C364" s="382" t="s">
        <v>83</v>
      </c>
      <c r="D364" s="383" t="s">
        <v>800</v>
      </c>
      <c r="E364" s="361" t="s">
        <v>801</v>
      </c>
      <c r="F364" s="362">
        <v>5</v>
      </c>
      <c r="G364" s="363">
        <v>4102100040814</v>
      </c>
      <c r="H364" s="364">
        <v>216068</v>
      </c>
      <c r="I364" s="307">
        <f t="shared" si="60"/>
        <v>68</v>
      </c>
      <c r="J364" s="306">
        <f t="shared" si="61"/>
        <v>2</v>
      </c>
      <c r="K364" s="306">
        <f t="shared" si="62"/>
        <v>3</v>
      </c>
      <c r="L364" s="306" t="str">
        <f t="shared" si="63"/>
        <v>68 ปี  2 เดือน  3 วัน</v>
      </c>
      <c r="M364" s="365">
        <f t="shared" si="59"/>
        <v>600</v>
      </c>
      <c r="N364" s="365"/>
      <c r="O364" s="379"/>
      <c r="P364" s="57"/>
      <c r="R364" s="114">
        <v>62</v>
      </c>
      <c r="S364" s="98">
        <f>COUNTIF(I342:I357,"62")</f>
        <v>0</v>
      </c>
      <c r="U364" s="115" t="s">
        <v>8</v>
      </c>
      <c r="V364" s="93">
        <f>SUM(S372:S376)</f>
        <v>0</v>
      </c>
    </row>
    <row r="365" spans="1:24" ht="21">
      <c r="A365" s="446">
        <v>357</v>
      </c>
      <c r="B365" s="358" t="s">
        <v>31</v>
      </c>
      <c r="C365" s="382" t="s">
        <v>58</v>
      </c>
      <c r="D365" s="383" t="s">
        <v>802</v>
      </c>
      <c r="E365" s="361" t="s">
        <v>617</v>
      </c>
      <c r="F365" s="362">
        <v>5</v>
      </c>
      <c r="G365" s="363">
        <v>3730600598576</v>
      </c>
      <c r="H365" s="364">
        <v>215983</v>
      </c>
      <c r="I365" s="422">
        <f t="shared" si="60"/>
        <v>68</v>
      </c>
      <c r="J365" s="423">
        <f t="shared" si="61"/>
        <v>4</v>
      </c>
      <c r="K365" s="423">
        <f t="shared" si="62"/>
        <v>27</v>
      </c>
      <c r="L365" s="423" t="str">
        <f t="shared" si="63"/>
        <v>68 ปี  4 เดือน  27 วัน</v>
      </c>
      <c r="M365" s="365">
        <f t="shared" si="59"/>
        <v>600</v>
      </c>
      <c r="N365" s="365"/>
      <c r="O365" s="379"/>
      <c r="P365" s="57"/>
      <c r="R365" s="114">
        <v>63</v>
      </c>
      <c r="S365" s="98">
        <f>COUNTIF(I342:I357,"63")</f>
        <v>3</v>
      </c>
      <c r="U365" s="115" t="s">
        <v>9</v>
      </c>
      <c r="V365" s="93">
        <f>SUM(S372:S376)</f>
        <v>0</v>
      </c>
      <c r="X365" s="57"/>
    </row>
    <row r="366" spans="1:24" ht="21">
      <c r="A366" s="446">
        <v>358</v>
      </c>
      <c r="B366" s="358" t="s">
        <v>31</v>
      </c>
      <c r="C366" s="382" t="s">
        <v>40</v>
      </c>
      <c r="D366" s="383" t="s">
        <v>780</v>
      </c>
      <c r="E366" s="361" t="s">
        <v>628</v>
      </c>
      <c r="F366" s="362">
        <v>5</v>
      </c>
      <c r="G366" s="363">
        <v>3730600597383</v>
      </c>
      <c r="H366" s="364">
        <v>216226</v>
      </c>
      <c r="I366" s="422">
        <f t="shared" si="60"/>
        <v>67</v>
      </c>
      <c r="J366" s="423">
        <f t="shared" si="61"/>
        <v>8</v>
      </c>
      <c r="K366" s="423">
        <f t="shared" si="62"/>
        <v>29</v>
      </c>
      <c r="L366" s="423" t="str">
        <f t="shared" si="63"/>
        <v>67 ปี  8 เดือน  29 วัน</v>
      </c>
      <c r="M366" s="365">
        <f t="shared" si="59"/>
        <v>600</v>
      </c>
      <c r="N366" s="365"/>
      <c r="O366" s="379"/>
      <c r="P366" s="57"/>
      <c r="R366" s="114">
        <v>64</v>
      </c>
      <c r="S366" s="98">
        <f>COUNTIF(I342:I357,"64")</f>
        <v>0</v>
      </c>
      <c r="U366" s="113" t="s">
        <v>25</v>
      </c>
      <c r="V366" s="113">
        <f>SUM(V362:V365)</f>
        <v>16</v>
      </c>
      <c r="X366" s="57"/>
    </row>
    <row r="367" spans="1:24" ht="21">
      <c r="A367" s="446">
        <v>359</v>
      </c>
      <c r="B367" s="358" t="s">
        <v>30</v>
      </c>
      <c r="C367" s="382" t="s">
        <v>198</v>
      </c>
      <c r="D367" s="383" t="s">
        <v>749</v>
      </c>
      <c r="E367" s="361" t="s">
        <v>103</v>
      </c>
      <c r="F367" s="362">
        <v>5</v>
      </c>
      <c r="G367" s="363">
        <v>5730600025505</v>
      </c>
      <c r="H367" s="364">
        <v>216226</v>
      </c>
      <c r="I367" s="422">
        <f t="shared" si="60"/>
        <v>67</v>
      </c>
      <c r="J367" s="423">
        <f t="shared" si="61"/>
        <v>8</v>
      </c>
      <c r="K367" s="423">
        <f t="shared" si="62"/>
        <v>29</v>
      </c>
      <c r="L367" s="423" t="str">
        <f t="shared" si="63"/>
        <v>67 ปี  8 เดือน  29 วัน</v>
      </c>
      <c r="M367" s="365">
        <f t="shared" si="59"/>
        <v>600</v>
      </c>
      <c r="N367" s="365"/>
      <c r="O367" s="379"/>
      <c r="P367" s="57"/>
      <c r="Q367" s="119"/>
      <c r="R367" s="114">
        <v>65</v>
      </c>
      <c r="S367" s="98">
        <f>COUNTIF(I342:I357,"65")</f>
        <v>5</v>
      </c>
      <c r="V367" s="116"/>
      <c r="X367" s="57"/>
    </row>
    <row r="368" spans="1:24" ht="21">
      <c r="A368" s="446">
        <v>360</v>
      </c>
      <c r="B368" s="358" t="s">
        <v>31</v>
      </c>
      <c r="C368" s="382" t="s">
        <v>807</v>
      </c>
      <c r="D368" s="383" t="s">
        <v>808</v>
      </c>
      <c r="E368" s="361" t="s">
        <v>794</v>
      </c>
      <c r="F368" s="362">
        <v>5</v>
      </c>
      <c r="G368" s="363">
        <v>3730600598282</v>
      </c>
      <c r="H368" s="364">
        <v>215496</v>
      </c>
      <c r="I368" s="422">
        <f t="shared" si="60"/>
        <v>69</v>
      </c>
      <c r="J368" s="423">
        <f t="shared" si="61"/>
        <v>8</v>
      </c>
      <c r="K368" s="423">
        <f t="shared" si="62"/>
        <v>29</v>
      </c>
      <c r="L368" s="423" t="str">
        <f t="shared" si="63"/>
        <v>69 ปี  8 เดือน  29 วัน</v>
      </c>
      <c r="M368" s="365">
        <f t="shared" si="59"/>
        <v>600</v>
      </c>
      <c r="N368" s="365"/>
      <c r="O368" s="379"/>
      <c r="P368" s="57"/>
      <c r="R368" s="114">
        <v>66</v>
      </c>
      <c r="S368" s="98">
        <f>COUNTIF(I342:I357,"66")</f>
        <v>1</v>
      </c>
      <c r="W368" s="119"/>
      <c r="X368" s="57"/>
    </row>
    <row r="369" spans="1:24" ht="21">
      <c r="A369" s="446">
        <v>361</v>
      </c>
      <c r="B369" s="358" t="s">
        <v>32</v>
      </c>
      <c r="C369" s="382" t="s">
        <v>809</v>
      </c>
      <c r="D369" s="383" t="s">
        <v>378</v>
      </c>
      <c r="E369" s="361" t="s">
        <v>810</v>
      </c>
      <c r="F369" s="362">
        <v>5</v>
      </c>
      <c r="G369" s="363">
        <v>3730600598908</v>
      </c>
      <c r="H369" s="364">
        <v>215496</v>
      </c>
      <c r="I369" s="422">
        <f t="shared" si="60"/>
        <v>69</v>
      </c>
      <c r="J369" s="423">
        <f t="shared" si="61"/>
        <v>8</v>
      </c>
      <c r="K369" s="423">
        <f t="shared" si="62"/>
        <v>29</v>
      </c>
      <c r="L369" s="423" t="str">
        <f t="shared" si="63"/>
        <v>69 ปี  8 เดือน  29 วัน</v>
      </c>
      <c r="M369" s="365">
        <f t="shared" si="59"/>
        <v>600</v>
      </c>
      <c r="N369" s="365"/>
      <c r="O369" s="379"/>
      <c r="P369" s="57"/>
      <c r="R369" s="114">
        <v>67</v>
      </c>
      <c r="S369" s="98">
        <f>COUNTIF(I342:I357,"67")</f>
        <v>3</v>
      </c>
      <c r="X369" s="57"/>
    </row>
    <row r="370" spans="1:24" ht="21">
      <c r="A370" s="446">
        <v>362</v>
      </c>
      <c r="B370" s="358" t="s">
        <v>30</v>
      </c>
      <c r="C370" s="382" t="s">
        <v>811</v>
      </c>
      <c r="D370" s="383" t="s">
        <v>462</v>
      </c>
      <c r="E370" s="361" t="s">
        <v>769</v>
      </c>
      <c r="F370" s="362">
        <v>5</v>
      </c>
      <c r="G370" s="363">
        <v>3730600599301</v>
      </c>
      <c r="H370" s="364">
        <v>215496</v>
      </c>
      <c r="I370" s="422">
        <f t="shared" si="60"/>
        <v>69</v>
      </c>
      <c r="J370" s="423">
        <f t="shared" si="61"/>
        <v>8</v>
      </c>
      <c r="K370" s="423">
        <f t="shared" si="62"/>
        <v>29</v>
      </c>
      <c r="L370" s="423" t="str">
        <f t="shared" si="63"/>
        <v>69 ปี  8 เดือน  29 วัน</v>
      </c>
      <c r="M370" s="365">
        <f t="shared" si="59"/>
        <v>600</v>
      </c>
      <c r="N370" s="365"/>
      <c r="O370" s="379"/>
      <c r="P370" s="57"/>
      <c r="R370" s="114">
        <v>68</v>
      </c>
      <c r="S370" s="98">
        <f>COUNTIF(I342:I357,"68")</f>
        <v>2</v>
      </c>
      <c r="X370" s="57"/>
    </row>
    <row r="371" spans="1:24" ht="21">
      <c r="A371" s="446">
        <v>363</v>
      </c>
      <c r="B371" s="358" t="s">
        <v>30</v>
      </c>
      <c r="C371" s="382" t="s">
        <v>595</v>
      </c>
      <c r="D371" s="383" t="s">
        <v>812</v>
      </c>
      <c r="E371" s="361" t="s">
        <v>266</v>
      </c>
      <c r="F371" s="362">
        <v>5</v>
      </c>
      <c r="G371" s="363">
        <v>3730600600392</v>
      </c>
      <c r="H371" s="364">
        <v>216226</v>
      </c>
      <c r="I371" s="422">
        <f t="shared" si="60"/>
        <v>67</v>
      </c>
      <c r="J371" s="423">
        <f t="shared" si="61"/>
        <v>8</v>
      </c>
      <c r="K371" s="423">
        <f t="shared" si="62"/>
        <v>29</v>
      </c>
      <c r="L371" s="423" t="str">
        <f t="shared" si="63"/>
        <v>67 ปี  8 เดือน  29 วัน</v>
      </c>
      <c r="M371" s="365">
        <f t="shared" si="59"/>
        <v>600</v>
      </c>
      <c r="N371" s="427"/>
      <c r="O371" s="379"/>
      <c r="P371" s="57"/>
      <c r="R371" s="114">
        <v>69</v>
      </c>
      <c r="S371" s="98">
        <f>COUNTIF(I342:I357,"69")</f>
        <v>2</v>
      </c>
      <c r="X371" s="57"/>
    </row>
    <row r="372" spans="1:24" ht="21">
      <c r="A372" s="446">
        <v>364</v>
      </c>
      <c r="B372" s="358" t="s">
        <v>31</v>
      </c>
      <c r="C372" s="382" t="s">
        <v>813</v>
      </c>
      <c r="D372" s="383" t="s">
        <v>814</v>
      </c>
      <c r="E372" s="361" t="s">
        <v>114</v>
      </c>
      <c r="F372" s="362">
        <v>5</v>
      </c>
      <c r="G372" s="363">
        <v>3730600600601</v>
      </c>
      <c r="H372" s="364">
        <v>215861</v>
      </c>
      <c r="I372" s="422">
        <f t="shared" si="60"/>
        <v>68</v>
      </c>
      <c r="J372" s="423">
        <f t="shared" si="61"/>
        <v>8</v>
      </c>
      <c r="K372" s="423">
        <f t="shared" si="62"/>
        <v>29</v>
      </c>
      <c r="L372" s="423" t="str">
        <f t="shared" si="63"/>
        <v>68 ปี  8 เดือน  29 วัน</v>
      </c>
      <c r="M372" s="365">
        <f t="shared" si="59"/>
        <v>600</v>
      </c>
      <c r="N372" s="428"/>
      <c r="O372" s="392"/>
      <c r="P372" s="57"/>
      <c r="R372" s="117">
        <v>70</v>
      </c>
      <c r="S372" s="118">
        <f>COUNTIF(I342:I357,"70")</f>
        <v>0</v>
      </c>
      <c r="X372" s="57"/>
    </row>
    <row r="373" spans="1:24" ht="21">
      <c r="A373" s="446">
        <v>365</v>
      </c>
      <c r="B373" s="358" t="s">
        <v>30</v>
      </c>
      <c r="C373" s="382" t="s">
        <v>815</v>
      </c>
      <c r="D373" s="383" t="s">
        <v>816</v>
      </c>
      <c r="E373" s="361" t="s">
        <v>117</v>
      </c>
      <c r="F373" s="362">
        <v>5</v>
      </c>
      <c r="G373" s="363">
        <v>3740300368028</v>
      </c>
      <c r="H373" s="364">
        <v>215496</v>
      </c>
      <c r="I373" s="422">
        <f t="shared" si="60"/>
        <v>69</v>
      </c>
      <c r="J373" s="423">
        <f t="shared" si="61"/>
        <v>8</v>
      </c>
      <c r="K373" s="423">
        <f t="shared" si="62"/>
        <v>29</v>
      </c>
      <c r="L373" s="423" t="str">
        <f t="shared" si="63"/>
        <v>69 ปี  8 เดือน  29 วัน</v>
      </c>
      <c r="M373" s="365">
        <f t="shared" si="59"/>
        <v>600</v>
      </c>
      <c r="N373" s="365"/>
      <c r="O373" s="379"/>
      <c r="R373" s="114">
        <v>73</v>
      </c>
      <c r="S373" s="96">
        <f>COUNTIF(I342:I357,"73")</f>
        <v>0</v>
      </c>
      <c r="X373" s="57"/>
    </row>
    <row r="374" spans="1:19" ht="21">
      <c r="A374" s="446">
        <v>366</v>
      </c>
      <c r="B374" s="358" t="s">
        <v>30</v>
      </c>
      <c r="C374" s="382" t="s">
        <v>51</v>
      </c>
      <c r="D374" s="383" t="s">
        <v>407</v>
      </c>
      <c r="E374" s="361" t="s">
        <v>129</v>
      </c>
      <c r="F374" s="362">
        <v>5</v>
      </c>
      <c r="G374" s="363">
        <v>3730600147221</v>
      </c>
      <c r="H374" s="364">
        <v>215969</v>
      </c>
      <c r="I374" s="422">
        <f t="shared" si="60"/>
        <v>68</v>
      </c>
      <c r="J374" s="423">
        <f t="shared" si="61"/>
        <v>5</v>
      </c>
      <c r="K374" s="423">
        <f t="shared" si="62"/>
        <v>11</v>
      </c>
      <c r="L374" s="423" t="str">
        <f t="shared" si="63"/>
        <v>68 ปี  5 เดือน  11 วัน</v>
      </c>
      <c r="M374" s="365">
        <f t="shared" si="59"/>
        <v>600</v>
      </c>
      <c r="N374" s="365"/>
      <c r="O374" s="379"/>
      <c r="R374" s="114">
        <v>74</v>
      </c>
      <c r="S374" s="96">
        <f>COUNTIF(I342:I357,"74")</f>
        <v>0</v>
      </c>
    </row>
    <row r="375" spans="1:19" ht="21">
      <c r="A375" s="446">
        <v>367</v>
      </c>
      <c r="B375" s="358" t="s">
        <v>30</v>
      </c>
      <c r="C375" s="382" t="s">
        <v>144</v>
      </c>
      <c r="D375" s="383" t="s">
        <v>780</v>
      </c>
      <c r="E375" s="361" t="s">
        <v>818</v>
      </c>
      <c r="F375" s="362">
        <v>5</v>
      </c>
      <c r="G375" s="363">
        <v>3730600594201</v>
      </c>
      <c r="H375" s="364">
        <v>216357</v>
      </c>
      <c r="I375" s="422">
        <f t="shared" si="60"/>
        <v>67</v>
      </c>
      <c r="J375" s="423">
        <f t="shared" si="61"/>
        <v>4</v>
      </c>
      <c r="K375" s="423">
        <f t="shared" si="62"/>
        <v>19</v>
      </c>
      <c r="L375" s="423" t="str">
        <f t="shared" si="63"/>
        <v>67 ปี  4 เดือน  19 วัน</v>
      </c>
      <c r="M375" s="365">
        <f t="shared" si="59"/>
        <v>600</v>
      </c>
      <c r="N375" s="365"/>
      <c r="O375" s="379"/>
      <c r="R375" s="114">
        <v>75</v>
      </c>
      <c r="S375" s="96">
        <f>COUNTIF(I342:I357,"75")</f>
        <v>0</v>
      </c>
    </row>
    <row r="376" spans="1:19" ht="21">
      <c r="A376" s="446">
        <v>368</v>
      </c>
      <c r="B376" s="358" t="s">
        <v>31</v>
      </c>
      <c r="C376" s="382" t="s">
        <v>41</v>
      </c>
      <c r="D376" s="383" t="s">
        <v>713</v>
      </c>
      <c r="E376" s="361" t="s">
        <v>128</v>
      </c>
      <c r="F376" s="362">
        <v>5</v>
      </c>
      <c r="G376" s="363">
        <v>3730600490198</v>
      </c>
      <c r="H376" s="364">
        <v>216365</v>
      </c>
      <c r="I376" s="422">
        <f t="shared" si="60"/>
        <v>67</v>
      </c>
      <c r="J376" s="423">
        <f t="shared" si="61"/>
        <v>4</v>
      </c>
      <c r="K376" s="423">
        <f t="shared" si="62"/>
        <v>11</v>
      </c>
      <c r="L376" s="423" t="str">
        <f t="shared" si="63"/>
        <v>67 ปี  4 เดือน  11 วัน</v>
      </c>
      <c r="M376" s="365">
        <f aca="true" t="shared" si="64" ref="M376:M407">IF(I376&lt;=69,600,IF(I376&lt;=79,700,IF(I376&lt;=89,800,IF(I376&gt;=90,1000))))</f>
        <v>600</v>
      </c>
      <c r="N376" s="365"/>
      <c r="O376" s="379"/>
      <c r="R376" s="114">
        <v>76</v>
      </c>
      <c r="S376" s="96">
        <f>COUNTIF(I342:I357,"76")</f>
        <v>0</v>
      </c>
    </row>
    <row r="377" spans="1:19" ht="21">
      <c r="A377" s="446">
        <v>369</v>
      </c>
      <c r="B377" s="358" t="s">
        <v>30</v>
      </c>
      <c r="C377" s="382" t="s">
        <v>819</v>
      </c>
      <c r="D377" s="383" t="s">
        <v>348</v>
      </c>
      <c r="E377" s="361" t="s">
        <v>820</v>
      </c>
      <c r="F377" s="362">
        <v>5</v>
      </c>
      <c r="G377" s="363">
        <v>3730600598207</v>
      </c>
      <c r="H377" s="364">
        <v>216682</v>
      </c>
      <c r="I377" s="422">
        <f t="shared" si="60"/>
        <v>66</v>
      </c>
      <c r="J377" s="423">
        <f t="shared" si="61"/>
        <v>5</v>
      </c>
      <c r="K377" s="423">
        <f t="shared" si="62"/>
        <v>29</v>
      </c>
      <c r="L377" s="423" t="str">
        <f t="shared" si="63"/>
        <v>66 ปี  5 เดือน  29 วัน</v>
      </c>
      <c r="M377" s="365">
        <f t="shared" si="64"/>
        <v>600</v>
      </c>
      <c r="N377" s="365"/>
      <c r="O377" s="393"/>
      <c r="R377" s="172"/>
      <c r="S377" s="96"/>
    </row>
    <row r="378" spans="1:19" ht="21">
      <c r="A378" s="446">
        <v>370</v>
      </c>
      <c r="B378" s="358" t="s">
        <v>30</v>
      </c>
      <c r="C378" s="382" t="s">
        <v>599</v>
      </c>
      <c r="D378" s="383" t="s">
        <v>749</v>
      </c>
      <c r="E378" s="361" t="s">
        <v>730</v>
      </c>
      <c r="F378" s="362">
        <v>5</v>
      </c>
      <c r="G378" s="363">
        <v>3730600598398</v>
      </c>
      <c r="H378" s="364">
        <v>216592</v>
      </c>
      <c r="I378" s="307">
        <f t="shared" si="60"/>
        <v>66</v>
      </c>
      <c r="J378" s="306">
        <f t="shared" si="61"/>
        <v>8</v>
      </c>
      <c r="K378" s="306">
        <f t="shared" si="62"/>
        <v>29</v>
      </c>
      <c r="L378" s="306" t="str">
        <f t="shared" si="63"/>
        <v>66 ปี  8 เดือน  29 วัน</v>
      </c>
      <c r="M378" s="365">
        <f t="shared" si="64"/>
        <v>600</v>
      </c>
      <c r="N378" s="365"/>
      <c r="O378" s="393"/>
      <c r="R378" s="172"/>
      <c r="S378" s="96"/>
    </row>
    <row r="379" spans="1:19" ht="21">
      <c r="A379" s="446">
        <v>371</v>
      </c>
      <c r="B379" s="358" t="s">
        <v>31</v>
      </c>
      <c r="C379" s="382" t="s">
        <v>821</v>
      </c>
      <c r="D379" s="383" t="s">
        <v>691</v>
      </c>
      <c r="E379" s="361" t="s">
        <v>175</v>
      </c>
      <c r="F379" s="362">
        <v>5</v>
      </c>
      <c r="G379" s="363">
        <v>3730600599815</v>
      </c>
      <c r="H379" s="364">
        <v>216592</v>
      </c>
      <c r="I379" s="307">
        <f t="shared" si="60"/>
        <v>66</v>
      </c>
      <c r="J379" s="306">
        <f t="shared" si="61"/>
        <v>8</v>
      </c>
      <c r="K379" s="306">
        <f t="shared" si="62"/>
        <v>29</v>
      </c>
      <c r="L379" s="306" t="str">
        <f t="shared" si="63"/>
        <v>66 ปี  8 เดือน  29 วัน</v>
      </c>
      <c r="M379" s="365">
        <f t="shared" si="64"/>
        <v>600</v>
      </c>
      <c r="N379" s="365"/>
      <c r="O379" s="393"/>
      <c r="R379" s="172"/>
      <c r="S379" s="96"/>
    </row>
    <row r="380" spans="1:19" ht="21">
      <c r="A380" s="446">
        <v>372</v>
      </c>
      <c r="B380" s="358" t="s">
        <v>30</v>
      </c>
      <c r="C380" s="382" t="s">
        <v>54</v>
      </c>
      <c r="D380" s="383" t="s">
        <v>816</v>
      </c>
      <c r="E380" s="361" t="s">
        <v>258</v>
      </c>
      <c r="F380" s="362">
        <v>5</v>
      </c>
      <c r="G380" s="363">
        <v>3730600600767</v>
      </c>
      <c r="H380" s="364">
        <v>216551</v>
      </c>
      <c r="I380" s="307">
        <f t="shared" si="60"/>
        <v>66</v>
      </c>
      <c r="J380" s="306">
        <f t="shared" si="61"/>
        <v>10</v>
      </c>
      <c r="K380" s="306">
        <f t="shared" si="62"/>
        <v>9</v>
      </c>
      <c r="L380" s="306" t="str">
        <f t="shared" si="63"/>
        <v>66 ปี  10 เดือน  9 วัน</v>
      </c>
      <c r="M380" s="365">
        <f t="shared" si="64"/>
        <v>600</v>
      </c>
      <c r="N380" s="365"/>
      <c r="O380" s="393"/>
      <c r="P380" s="42">
        <v>69</v>
      </c>
      <c r="R380" s="172"/>
      <c r="S380" s="96"/>
    </row>
    <row r="381" spans="1:19" ht="21">
      <c r="A381" s="446">
        <v>373</v>
      </c>
      <c r="B381" s="358" t="s">
        <v>31</v>
      </c>
      <c r="C381" s="382" t="s">
        <v>162</v>
      </c>
      <c r="D381" s="383" t="s">
        <v>822</v>
      </c>
      <c r="E381" s="361" t="s">
        <v>823</v>
      </c>
      <c r="F381" s="362">
        <v>5</v>
      </c>
      <c r="G381" s="363">
        <v>3730600599149</v>
      </c>
      <c r="H381" s="364">
        <v>216592</v>
      </c>
      <c r="I381" s="307">
        <f t="shared" si="60"/>
        <v>66</v>
      </c>
      <c r="J381" s="306">
        <f t="shared" si="61"/>
        <v>8</v>
      </c>
      <c r="K381" s="306">
        <f t="shared" si="62"/>
        <v>29</v>
      </c>
      <c r="L381" s="306" t="str">
        <f t="shared" si="63"/>
        <v>66 ปี  8 เดือน  29 วัน</v>
      </c>
      <c r="M381" s="365">
        <f t="shared" si="64"/>
        <v>600</v>
      </c>
      <c r="N381" s="365"/>
      <c r="O381" s="393"/>
      <c r="P381" s="42">
        <v>70</v>
      </c>
      <c r="R381" s="172"/>
      <c r="S381" s="96"/>
    </row>
    <row r="382" spans="1:19" ht="21">
      <c r="A382" s="446">
        <v>374</v>
      </c>
      <c r="B382" s="358" t="s">
        <v>32</v>
      </c>
      <c r="C382" s="382" t="s">
        <v>158</v>
      </c>
      <c r="D382" s="383" t="s">
        <v>621</v>
      </c>
      <c r="E382" s="361" t="s">
        <v>824</v>
      </c>
      <c r="F382" s="362">
        <v>5</v>
      </c>
      <c r="G382" s="363">
        <v>3730600490121</v>
      </c>
      <c r="H382" s="364">
        <v>216592</v>
      </c>
      <c r="I382" s="307">
        <f t="shared" si="60"/>
        <v>66</v>
      </c>
      <c r="J382" s="306">
        <f t="shared" si="61"/>
        <v>8</v>
      </c>
      <c r="K382" s="306">
        <f t="shared" si="62"/>
        <v>29</v>
      </c>
      <c r="L382" s="306" t="str">
        <f t="shared" si="63"/>
        <v>66 ปี  8 เดือน  29 วัน</v>
      </c>
      <c r="M382" s="365">
        <f t="shared" si="64"/>
        <v>600</v>
      </c>
      <c r="N382" s="365"/>
      <c r="O382" s="393"/>
      <c r="P382" s="42">
        <v>71</v>
      </c>
      <c r="R382" s="172"/>
      <c r="S382" s="96"/>
    </row>
    <row r="383" spans="1:23" ht="21">
      <c r="A383" s="446">
        <v>375</v>
      </c>
      <c r="B383" s="358" t="s">
        <v>32</v>
      </c>
      <c r="C383" s="382" t="s">
        <v>825</v>
      </c>
      <c r="D383" s="383" t="s">
        <v>826</v>
      </c>
      <c r="E383" s="361" t="s">
        <v>66</v>
      </c>
      <c r="F383" s="362">
        <v>5</v>
      </c>
      <c r="G383" s="363">
        <v>3730600599220</v>
      </c>
      <c r="H383" s="364">
        <v>217024</v>
      </c>
      <c r="I383" s="307">
        <f t="shared" si="60"/>
        <v>65</v>
      </c>
      <c r="J383" s="306">
        <f t="shared" si="61"/>
        <v>6</v>
      </c>
      <c r="K383" s="306">
        <f t="shared" si="62"/>
        <v>21</v>
      </c>
      <c r="L383" s="306" t="str">
        <f t="shared" si="63"/>
        <v>65 ปี  6 เดือน  21 วัน</v>
      </c>
      <c r="M383" s="365">
        <f t="shared" si="64"/>
        <v>600</v>
      </c>
      <c r="N383" s="365"/>
      <c r="O383" s="393"/>
      <c r="R383" s="111" t="s">
        <v>0</v>
      </c>
      <c r="S383" s="112" t="s">
        <v>22</v>
      </c>
      <c r="U383" s="113" t="s">
        <v>1</v>
      </c>
      <c r="V383" s="113" t="s">
        <v>22</v>
      </c>
      <c r="W383" s="42"/>
    </row>
    <row r="384" spans="1:23" ht="21">
      <c r="A384" s="446">
        <v>376</v>
      </c>
      <c r="B384" s="358" t="s">
        <v>30</v>
      </c>
      <c r="C384" s="382" t="s">
        <v>827</v>
      </c>
      <c r="D384" s="383" t="s">
        <v>828</v>
      </c>
      <c r="E384" s="361" t="s">
        <v>107</v>
      </c>
      <c r="F384" s="362">
        <v>5</v>
      </c>
      <c r="G384" s="363">
        <v>3730600599572</v>
      </c>
      <c r="H384" s="364">
        <v>216965</v>
      </c>
      <c r="I384" s="307">
        <f t="shared" si="60"/>
        <v>65</v>
      </c>
      <c r="J384" s="306">
        <f t="shared" si="61"/>
        <v>8</v>
      </c>
      <c r="K384" s="306">
        <f t="shared" si="62"/>
        <v>21</v>
      </c>
      <c r="L384" s="306" t="str">
        <f t="shared" si="63"/>
        <v>65 ปี  8 เดือน  21 วัน</v>
      </c>
      <c r="M384" s="365">
        <f t="shared" si="64"/>
        <v>600</v>
      </c>
      <c r="N384" s="365"/>
      <c r="O384" s="393"/>
      <c r="R384" s="114">
        <v>60</v>
      </c>
      <c r="S384" s="98">
        <f>COUNTIF(I364:I403,"60")</f>
        <v>0</v>
      </c>
      <c r="U384" s="115" t="s">
        <v>2</v>
      </c>
      <c r="V384" s="93">
        <f>SUM(S384:S393)</f>
        <v>39</v>
      </c>
      <c r="W384" s="42"/>
    </row>
    <row r="385" spans="1:23" ht="21">
      <c r="A385" s="446">
        <v>377</v>
      </c>
      <c r="B385" s="358" t="s">
        <v>31</v>
      </c>
      <c r="C385" s="382" t="s">
        <v>829</v>
      </c>
      <c r="D385" s="383" t="s">
        <v>830</v>
      </c>
      <c r="E385" s="361" t="s">
        <v>102</v>
      </c>
      <c r="F385" s="362">
        <v>5</v>
      </c>
      <c r="G385" s="363">
        <v>3730600597880</v>
      </c>
      <c r="H385" s="364">
        <v>217050</v>
      </c>
      <c r="I385" s="307">
        <f t="shared" si="60"/>
        <v>65</v>
      </c>
      <c r="J385" s="306">
        <f t="shared" si="61"/>
        <v>5</v>
      </c>
      <c r="K385" s="306">
        <f t="shared" si="62"/>
        <v>26</v>
      </c>
      <c r="L385" s="306" t="str">
        <f t="shared" si="63"/>
        <v>65 ปี  5 เดือน  26 วัน</v>
      </c>
      <c r="M385" s="365">
        <f t="shared" si="64"/>
        <v>600</v>
      </c>
      <c r="N385" s="365"/>
      <c r="O385" s="393"/>
      <c r="R385" s="114">
        <v>61</v>
      </c>
      <c r="S385" s="98">
        <f>COUNTIF(I364:I403,"61")</f>
        <v>0</v>
      </c>
      <c r="U385" s="115" t="s">
        <v>7</v>
      </c>
      <c r="V385" s="93">
        <f>SUM(S394:S400)</f>
        <v>0</v>
      </c>
      <c r="W385" s="42"/>
    </row>
    <row r="386" spans="1:23" ht="21">
      <c r="A386" s="446">
        <v>378</v>
      </c>
      <c r="B386" s="358" t="s">
        <v>32</v>
      </c>
      <c r="C386" s="382" t="s">
        <v>852</v>
      </c>
      <c r="D386" s="383" t="s">
        <v>831</v>
      </c>
      <c r="E386" s="361" t="s">
        <v>832</v>
      </c>
      <c r="F386" s="362">
        <v>5</v>
      </c>
      <c r="G386" s="363">
        <v>3411100770047</v>
      </c>
      <c r="H386" s="364">
        <v>217200</v>
      </c>
      <c r="I386" s="307">
        <f t="shared" si="60"/>
        <v>65</v>
      </c>
      <c r="J386" s="306">
        <f t="shared" si="61"/>
        <v>0</v>
      </c>
      <c r="K386" s="306">
        <f t="shared" si="62"/>
        <v>29</v>
      </c>
      <c r="L386" s="306" t="str">
        <f t="shared" si="63"/>
        <v>65 ปี  0 เดือน  29 วัน</v>
      </c>
      <c r="M386" s="365">
        <f t="shared" si="64"/>
        <v>600</v>
      </c>
      <c r="N386" s="365"/>
      <c r="O386" s="393"/>
      <c r="R386" s="114">
        <v>62</v>
      </c>
      <c r="S386" s="98">
        <f>COUNTIF(I364:I403,"62")</f>
        <v>6</v>
      </c>
      <c r="U386" s="115" t="s">
        <v>8</v>
      </c>
      <c r="V386" s="93">
        <f>SUM(S394:S400)</f>
        <v>0</v>
      </c>
      <c r="W386" s="42"/>
    </row>
    <row r="387" spans="1:23" ht="21">
      <c r="A387" s="446">
        <v>379</v>
      </c>
      <c r="B387" s="358" t="s">
        <v>31</v>
      </c>
      <c r="C387" s="382" t="s">
        <v>146</v>
      </c>
      <c r="D387" s="383" t="s">
        <v>833</v>
      </c>
      <c r="E387" s="361" t="s">
        <v>834</v>
      </c>
      <c r="F387" s="362">
        <v>5</v>
      </c>
      <c r="G387" s="363">
        <v>3730600489912</v>
      </c>
      <c r="H387" s="364">
        <v>217322</v>
      </c>
      <c r="I387" s="307">
        <f t="shared" si="60"/>
        <v>64</v>
      </c>
      <c r="J387" s="306">
        <f t="shared" si="61"/>
        <v>8</v>
      </c>
      <c r="K387" s="306">
        <f t="shared" si="62"/>
        <v>29</v>
      </c>
      <c r="L387" s="306" t="str">
        <f t="shared" si="63"/>
        <v>64 ปี  8 เดือน  29 วัน</v>
      </c>
      <c r="M387" s="365">
        <f t="shared" si="64"/>
        <v>600</v>
      </c>
      <c r="N387" s="365"/>
      <c r="O387" s="393"/>
      <c r="R387" s="114">
        <v>63</v>
      </c>
      <c r="S387" s="98">
        <f>COUNTIF(I364:I403,"63")</f>
        <v>3</v>
      </c>
      <c r="U387" s="115" t="s">
        <v>9</v>
      </c>
      <c r="V387" s="93">
        <f>SUM(S394:S400)</f>
        <v>0</v>
      </c>
      <c r="W387" s="42"/>
    </row>
    <row r="388" spans="1:23" ht="21">
      <c r="A388" s="446">
        <v>380</v>
      </c>
      <c r="B388" s="358" t="s">
        <v>30</v>
      </c>
      <c r="C388" s="382" t="s">
        <v>51</v>
      </c>
      <c r="D388" s="383" t="s">
        <v>835</v>
      </c>
      <c r="E388" s="361" t="s">
        <v>836</v>
      </c>
      <c r="F388" s="362">
        <v>5</v>
      </c>
      <c r="G388" s="363">
        <v>3730600594074</v>
      </c>
      <c r="H388" s="364">
        <v>217391</v>
      </c>
      <c r="I388" s="307">
        <f t="shared" si="60"/>
        <v>64</v>
      </c>
      <c r="J388" s="306">
        <f t="shared" si="61"/>
        <v>6</v>
      </c>
      <c r="K388" s="306">
        <f t="shared" si="62"/>
        <v>19</v>
      </c>
      <c r="L388" s="306" t="str">
        <f t="shared" si="63"/>
        <v>64 ปี  6 เดือน  19 วัน</v>
      </c>
      <c r="M388" s="365">
        <f t="shared" si="64"/>
        <v>600</v>
      </c>
      <c r="N388" s="365"/>
      <c r="O388" s="393"/>
      <c r="R388" s="114">
        <v>64</v>
      </c>
      <c r="S388" s="98">
        <f>COUNTIF(I364:I403,"64")</f>
        <v>6</v>
      </c>
      <c r="U388" s="113" t="s">
        <v>25</v>
      </c>
      <c r="V388" s="113">
        <f>SUM(V384:V387)</f>
        <v>39</v>
      </c>
      <c r="W388" s="42"/>
    </row>
    <row r="389" spans="1:23" ht="21">
      <c r="A389" s="446">
        <v>381</v>
      </c>
      <c r="B389" s="358" t="s">
        <v>30</v>
      </c>
      <c r="C389" s="382" t="s">
        <v>837</v>
      </c>
      <c r="D389" s="383" t="s">
        <v>816</v>
      </c>
      <c r="E389" s="361" t="s">
        <v>124</v>
      </c>
      <c r="F389" s="362">
        <v>5</v>
      </c>
      <c r="G389" s="363">
        <v>3730600600953</v>
      </c>
      <c r="H389" s="364">
        <v>217322</v>
      </c>
      <c r="I389" s="307">
        <f t="shared" si="60"/>
        <v>64</v>
      </c>
      <c r="J389" s="306">
        <f t="shared" si="61"/>
        <v>8</v>
      </c>
      <c r="K389" s="306">
        <f t="shared" si="62"/>
        <v>29</v>
      </c>
      <c r="L389" s="306" t="str">
        <f t="shared" si="63"/>
        <v>64 ปี  8 เดือน  29 วัน</v>
      </c>
      <c r="M389" s="365">
        <f t="shared" si="64"/>
        <v>600</v>
      </c>
      <c r="N389" s="365"/>
      <c r="O389" s="393"/>
      <c r="R389" s="114">
        <v>65</v>
      </c>
      <c r="S389" s="98">
        <f>COUNTIF(I364:I403,"65")</f>
        <v>5</v>
      </c>
      <c r="V389" s="116"/>
      <c r="W389" s="42"/>
    </row>
    <row r="390" spans="1:23" ht="21">
      <c r="A390" s="446">
        <v>382</v>
      </c>
      <c r="B390" s="358" t="s">
        <v>30</v>
      </c>
      <c r="C390" s="382" t="s">
        <v>197</v>
      </c>
      <c r="D390" s="383" t="s">
        <v>838</v>
      </c>
      <c r="E390" s="361" t="s">
        <v>839</v>
      </c>
      <c r="F390" s="362">
        <v>5</v>
      </c>
      <c r="G390" s="363">
        <v>3100200916657</v>
      </c>
      <c r="H390" s="364">
        <v>215754</v>
      </c>
      <c r="I390" s="307">
        <f t="shared" si="60"/>
        <v>69</v>
      </c>
      <c r="J390" s="306">
        <f t="shared" si="61"/>
        <v>0</v>
      </c>
      <c r="K390" s="306">
        <f t="shared" si="62"/>
        <v>14</v>
      </c>
      <c r="L390" s="306" t="str">
        <f t="shared" si="63"/>
        <v>69 ปี  0 เดือน  14 วัน</v>
      </c>
      <c r="M390" s="365">
        <f t="shared" si="64"/>
        <v>600</v>
      </c>
      <c r="N390" s="365"/>
      <c r="O390" s="393"/>
      <c r="R390" s="114">
        <v>66</v>
      </c>
      <c r="S390" s="98">
        <f>COUNTIF(I364:I403,"66")</f>
        <v>6</v>
      </c>
      <c r="W390" s="42"/>
    </row>
    <row r="391" spans="1:23" ht="21">
      <c r="A391" s="446">
        <v>383</v>
      </c>
      <c r="B391" s="358" t="s">
        <v>31</v>
      </c>
      <c r="C391" s="382" t="s">
        <v>840</v>
      </c>
      <c r="D391" s="383" t="s">
        <v>828</v>
      </c>
      <c r="E391" s="361" t="s">
        <v>745</v>
      </c>
      <c r="F391" s="362">
        <v>5</v>
      </c>
      <c r="G391" s="363">
        <v>3730600600058</v>
      </c>
      <c r="H391" s="364">
        <v>217456</v>
      </c>
      <c r="I391" s="307">
        <f t="shared" si="60"/>
        <v>64</v>
      </c>
      <c r="J391" s="306">
        <f t="shared" si="61"/>
        <v>4</v>
      </c>
      <c r="K391" s="306">
        <f t="shared" si="62"/>
        <v>15</v>
      </c>
      <c r="L391" s="306" t="str">
        <f t="shared" si="63"/>
        <v>64 ปี  4 เดือน  15 วัน</v>
      </c>
      <c r="M391" s="365">
        <f t="shared" si="64"/>
        <v>600</v>
      </c>
      <c r="N391" s="365"/>
      <c r="O391" s="393"/>
      <c r="R391" s="114">
        <v>67</v>
      </c>
      <c r="S391" s="98">
        <f>COUNTIF(I364:I403,"67")</f>
        <v>5</v>
      </c>
      <c r="W391" s="42"/>
    </row>
    <row r="392" spans="1:23" ht="21">
      <c r="A392" s="446">
        <v>384</v>
      </c>
      <c r="B392" s="358" t="s">
        <v>30</v>
      </c>
      <c r="C392" s="382" t="s">
        <v>153</v>
      </c>
      <c r="D392" s="383" t="s">
        <v>285</v>
      </c>
      <c r="E392" s="361" t="s">
        <v>841</v>
      </c>
      <c r="F392" s="362">
        <v>5</v>
      </c>
      <c r="G392" s="363">
        <v>3730600577463</v>
      </c>
      <c r="H392" s="364">
        <v>217687</v>
      </c>
      <c r="I392" s="307">
        <f t="shared" si="60"/>
        <v>63</v>
      </c>
      <c r="J392" s="306">
        <f t="shared" si="61"/>
        <v>8</v>
      </c>
      <c r="K392" s="306">
        <f t="shared" si="62"/>
        <v>29</v>
      </c>
      <c r="L392" s="306" t="str">
        <f t="shared" si="63"/>
        <v>63 ปี  8 เดือน  29 วัน</v>
      </c>
      <c r="M392" s="365">
        <f t="shared" si="64"/>
        <v>600</v>
      </c>
      <c r="N392" s="365"/>
      <c r="O392" s="393"/>
      <c r="R392" s="114">
        <v>68</v>
      </c>
      <c r="S392" s="98">
        <f>COUNTIF(I364:I403,"68")</f>
        <v>4</v>
      </c>
      <c r="W392" s="42"/>
    </row>
    <row r="393" spans="1:23" ht="21">
      <c r="A393" s="446">
        <v>385</v>
      </c>
      <c r="B393" s="358" t="s">
        <v>32</v>
      </c>
      <c r="C393" s="382" t="s">
        <v>172</v>
      </c>
      <c r="D393" s="383" t="s">
        <v>842</v>
      </c>
      <c r="E393" s="361" t="s">
        <v>836</v>
      </c>
      <c r="F393" s="362">
        <v>5</v>
      </c>
      <c r="G393" s="363">
        <v>3730600600881</v>
      </c>
      <c r="H393" s="364">
        <v>217687</v>
      </c>
      <c r="I393" s="307">
        <f aca="true" t="shared" si="65" ref="I393:I416">DATEDIF(H393,$S$20,"Y")</f>
        <v>63</v>
      </c>
      <c r="J393" s="306">
        <f aca="true" t="shared" si="66" ref="J393:J417">DATEDIF(H393,$S$20,"YM")</f>
        <v>8</v>
      </c>
      <c r="K393" s="306">
        <f aca="true" t="shared" si="67" ref="K393:K417">DATEDIF(H393,$S$20,"MD")</f>
        <v>29</v>
      </c>
      <c r="L393" s="306" t="str">
        <f aca="true" t="shared" si="68" ref="L393:L417">I393&amp;" ปี  "&amp;J393&amp;" เดือน  "&amp;K393&amp;" วัน"</f>
        <v>63 ปี  8 เดือน  29 วัน</v>
      </c>
      <c r="M393" s="365">
        <f t="shared" si="64"/>
        <v>600</v>
      </c>
      <c r="N393" s="365"/>
      <c r="O393" s="393"/>
      <c r="R393" s="114">
        <v>69</v>
      </c>
      <c r="S393" s="98">
        <f>COUNTIF(I364:I377,"69")</f>
        <v>4</v>
      </c>
      <c r="W393" s="42"/>
    </row>
    <row r="394" spans="1:23" ht="21">
      <c r="A394" s="446">
        <v>386</v>
      </c>
      <c r="B394" s="358" t="s">
        <v>32</v>
      </c>
      <c r="C394" s="382" t="s">
        <v>843</v>
      </c>
      <c r="D394" s="383" t="s">
        <v>826</v>
      </c>
      <c r="E394" s="361" t="s">
        <v>844</v>
      </c>
      <c r="F394" s="362">
        <v>5</v>
      </c>
      <c r="G394" s="363">
        <v>3730600599238</v>
      </c>
      <c r="H394" s="364">
        <v>217854</v>
      </c>
      <c r="I394" s="307">
        <f t="shared" si="65"/>
        <v>63</v>
      </c>
      <c r="J394" s="306">
        <f t="shared" si="66"/>
        <v>3</v>
      </c>
      <c r="K394" s="306">
        <f t="shared" si="67"/>
        <v>14</v>
      </c>
      <c r="L394" s="306" t="str">
        <f t="shared" si="68"/>
        <v>63 ปี  3 เดือน  14 วัน</v>
      </c>
      <c r="M394" s="365">
        <f t="shared" si="64"/>
        <v>600</v>
      </c>
      <c r="N394" s="365"/>
      <c r="O394" s="393"/>
      <c r="R394" s="117">
        <v>70</v>
      </c>
      <c r="S394" s="118">
        <f>COUNTIF(I364:I377,"70")</f>
        <v>0</v>
      </c>
      <c r="W394" s="42"/>
    </row>
    <row r="395" spans="1:23" ht="21">
      <c r="A395" s="446">
        <v>387</v>
      </c>
      <c r="B395" s="358" t="s">
        <v>30</v>
      </c>
      <c r="C395" s="359" t="s">
        <v>690</v>
      </c>
      <c r="D395" s="360" t="s">
        <v>691</v>
      </c>
      <c r="E395" s="361" t="s">
        <v>692</v>
      </c>
      <c r="F395" s="362">
        <v>5</v>
      </c>
      <c r="G395" s="363">
        <v>3730600598746</v>
      </c>
      <c r="H395" s="364">
        <v>217322</v>
      </c>
      <c r="I395" s="422">
        <f t="shared" si="65"/>
        <v>64</v>
      </c>
      <c r="J395" s="423">
        <f t="shared" si="66"/>
        <v>8</v>
      </c>
      <c r="K395" s="423">
        <f t="shared" si="67"/>
        <v>29</v>
      </c>
      <c r="L395" s="423" t="str">
        <f t="shared" si="68"/>
        <v>64 ปี  8 เดือน  29 วัน</v>
      </c>
      <c r="M395" s="365">
        <f t="shared" si="64"/>
        <v>600</v>
      </c>
      <c r="N395" s="365"/>
      <c r="O395" s="406" t="s">
        <v>1370</v>
      </c>
      <c r="R395" s="114">
        <v>71</v>
      </c>
      <c r="S395" s="96">
        <f>COUNTIF(I364:I377,"71")</f>
        <v>0</v>
      </c>
      <c r="W395" s="42"/>
    </row>
    <row r="396" spans="1:23" ht="21">
      <c r="A396" s="446">
        <v>388</v>
      </c>
      <c r="B396" s="358" t="s">
        <v>32</v>
      </c>
      <c r="C396" s="382" t="s">
        <v>627</v>
      </c>
      <c r="D396" s="383" t="s">
        <v>845</v>
      </c>
      <c r="E396" s="361" t="s">
        <v>118</v>
      </c>
      <c r="F396" s="362">
        <v>5</v>
      </c>
      <c r="G396" s="363">
        <v>3730600514160</v>
      </c>
      <c r="H396" s="364">
        <v>217976</v>
      </c>
      <c r="I396" s="307">
        <f t="shared" si="65"/>
        <v>62</v>
      </c>
      <c r="J396" s="306">
        <f t="shared" si="66"/>
        <v>11</v>
      </c>
      <c r="K396" s="306">
        <f t="shared" si="67"/>
        <v>14</v>
      </c>
      <c r="L396" s="306" t="str">
        <f t="shared" si="68"/>
        <v>62 ปี  11 เดือน  14 วัน</v>
      </c>
      <c r="M396" s="365">
        <f t="shared" si="64"/>
        <v>600</v>
      </c>
      <c r="N396" s="365"/>
      <c r="O396" s="410" t="s">
        <v>550</v>
      </c>
      <c r="R396" s="114">
        <v>72</v>
      </c>
      <c r="S396" s="96">
        <f>COUNTIF(I364:I377,"72")</f>
        <v>0</v>
      </c>
      <c r="T396" s="42"/>
      <c r="U396" s="42"/>
      <c r="V396" s="42"/>
      <c r="W396" s="42"/>
    </row>
    <row r="397" spans="1:23" ht="21">
      <c r="A397" s="446">
        <v>389</v>
      </c>
      <c r="B397" s="358" t="s">
        <v>31</v>
      </c>
      <c r="C397" s="382" t="s">
        <v>846</v>
      </c>
      <c r="D397" s="383" t="s">
        <v>816</v>
      </c>
      <c r="E397" s="361" t="s">
        <v>124</v>
      </c>
      <c r="F397" s="362">
        <v>5</v>
      </c>
      <c r="G397" s="363">
        <v>3730600600961</v>
      </c>
      <c r="H397" s="364">
        <v>218053</v>
      </c>
      <c r="I397" s="307">
        <f t="shared" si="65"/>
        <v>62</v>
      </c>
      <c r="J397" s="306">
        <f t="shared" si="66"/>
        <v>8</v>
      </c>
      <c r="K397" s="306">
        <f t="shared" si="67"/>
        <v>29</v>
      </c>
      <c r="L397" s="306" t="str">
        <f t="shared" si="68"/>
        <v>62 ปี  8 เดือน  29 วัน</v>
      </c>
      <c r="M397" s="365">
        <f t="shared" si="64"/>
        <v>600</v>
      </c>
      <c r="N397" s="365"/>
      <c r="O397" s="410" t="s">
        <v>550</v>
      </c>
      <c r="R397" s="114">
        <v>73</v>
      </c>
      <c r="S397" s="96">
        <f>COUNTIF(I364:I377,"73")</f>
        <v>0</v>
      </c>
      <c r="T397" s="42"/>
      <c r="U397" s="42"/>
      <c r="V397" s="42"/>
      <c r="W397" s="42"/>
    </row>
    <row r="398" spans="1:23" ht="21">
      <c r="A398" s="446">
        <v>390</v>
      </c>
      <c r="B398" s="358" t="s">
        <v>32</v>
      </c>
      <c r="C398" s="382" t="s">
        <v>141</v>
      </c>
      <c r="D398" s="383" t="s">
        <v>847</v>
      </c>
      <c r="E398" s="361" t="s">
        <v>76</v>
      </c>
      <c r="F398" s="362">
        <v>5</v>
      </c>
      <c r="G398" s="363">
        <v>3700100555762</v>
      </c>
      <c r="H398" s="364">
        <v>217309</v>
      </c>
      <c r="I398" s="307">
        <f t="shared" si="65"/>
        <v>64</v>
      </c>
      <c r="J398" s="306">
        <f t="shared" si="66"/>
        <v>9</v>
      </c>
      <c r="K398" s="306">
        <f t="shared" si="67"/>
        <v>11</v>
      </c>
      <c r="L398" s="306" t="str">
        <f t="shared" si="68"/>
        <v>64 ปี  9 เดือน  11 วัน</v>
      </c>
      <c r="M398" s="365">
        <f t="shared" si="64"/>
        <v>600</v>
      </c>
      <c r="N398" s="365"/>
      <c r="O398" s="410" t="s">
        <v>550</v>
      </c>
      <c r="R398" s="114">
        <v>74</v>
      </c>
      <c r="S398" s="96">
        <f>COUNTIF(I364:I377,"74")</f>
        <v>0</v>
      </c>
      <c r="T398" s="42"/>
      <c r="U398" s="42"/>
      <c r="V398" s="42"/>
      <c r="W398" s="42"/>
    </row>
    <row r="399" spans="1:23" ht="21">
      <c r="A399" s="446">
        <v>391</v>
      </c>
      <c r="B399" s="358" t="s">
        <v>30</v>
      </c>
      <c r="C399" s="382" t="s">
        <v>848</v>
      </c>
      <c r="D399" s="383" t="s">
        <v>849</v>
      </c>
      <c r="E399" s="361" t="s">
        <v>76</v>
      </c>
      <c r="F399" s="362">
        <v>5</v>
      </c>
      <c r="G399" s="363">
        <v>3740200416918</v>
      </c>
      <c r="H399" s="364">
        <v>216957</v>
      </c>
      <c r="I399" s="307">
        <f t="shared" si="65"/>
        <v>65</v>
      </c>
      <c r="J399" s="306">
        <f t="shared" si="66"/>
        <v>8</v>
      </c>
      <c r="K399" s="306">
        <f t="shared" si="67"/>
        <v>29</v>
      </c>
      <c r="L399" s="306" t="str">
        <f t="shared" si="68"/>
        <v>65 ปี  8 เดือน  29 วัน</v>
      </c>
      <c r="M399" s="365">
        <f t="shared" si="64"/>
        <v>600</v>
      </c>
      <c r="N399" s="365"/>
      <c r="O399" s="410" t="s">
        <v>550</v>
      </c>
      <c r="R399" s="114">
        <v>75</v>
      </c>
      <c r="S399" s="96">
        <f>COUNTIF(I364:I377,"75")</f>
        <v>0</v>
      </c>
      <c r="T399" s="42"/>
      <c r="U399" s="42"/>
      <c r="V399" s="42"/>
      <c r="W399" s="42"/>
    </row>
    <row r="400" spans="1:23" ht="21">
      <c r="A400" s="446">
        <v>392</v>
      </c>
      <c r="B400" s="358" t="s">
        <v>31</v>
      </c>
      <c r="C400" s="382" t="s">
        <v>850</v>
      </c>
      <c r="D400" s="383" t="s">
        <v>407</v>
      </c>
      <c r="E400" s="361" t="s">
        <v>129</v>
      </c>
      <c r="F400" s="362">
        <v>5</v>
      </c>
      <c r="G400" s="363">
        <v>3730600595739</v>
      </c>
      <c r="H400" s="364">
        <v>218071</v>
      </c>
      <c r="I400" s="307">
        <f t="shared" si="65"/>
        <v>62</v>
      </c>
      <c r="J400" s="306">
        <f t="shared" si="66"/>
        <v>8</v>
      </c>
      <c r="K400" s="306">
        <f t="shared" si="67"/>
        <v>11</v>
      </c>
      <c r="L400" s="306" t="str">
        <f t="shared" si="68"/>
        <v>62 ปี  8 เดือน  11 วัน</v>
      </c>
      <c r="M400" s="365">
        <f t="shared" si="64"/>
        <v>600</v>
      </c>
      <c r="N400" s="365"/>
      <c r="O400" s="410" t="s">
        <v>550</v>
      </c>
      <c r="R400" s="114">
        <v>76</v>
      </c>
      <c r="S400" s="96">
        <f>COUNTIF(I364:I377,"76")</f>
        <v>0</v>
      </c>
      <c r="T400" s="42"/>
      <c r="U400" s="42"/>
      <c r="V400" s="42"/>
      <c r="W400" s="42"/>
    </row>
    <row r="401" spans="1:23" ht="21">
      <c r="A401" s="446">
        <v>393</v>
      </c>
      <c r="B401" s="358" t="s">
        <v>31</v>
      </c>
      <c r="C401" s="382" t="s">
        <v>851</v>
      </c>
      <c r="D401" s="383" t="s">
        <v>828</v>
      </c>
      <c r="E401" s="361" t="s">
        <v>107</v>
      </c>
      <c r="F401" s="362">
        <v>5</v>
      </c>
      <c r="G401" s="363">
        <v>3730600598754</v>
      </c>
      <c r="H401" s="364">
        <v>218081</v>
      </c>
      <c r="I401" s="307">
        <f t="shared" si="65"/>
        <v>62</v>
      </c>
      <c r="J401" s="306">
        <f t="shared" si="66"/>
        <v>8</v>
      </c>
      <c r="K401" s="306">
        <f t="shared" si="67"/>
        <v>1</v>
      </c>
      <c r="L401" s="306" t="str">
        <f t="shared" si="68"/>
        <v>62 ปี  8 เดือน  1 วัน</v>
      </c>
      <c r="M401" s="365">
        <f t="shared" si="64"/>
        <v>600</v>
      </c>
      <c r="N401" s="365"/>
      <c r="O401" s="410" t="s">
        <v>550</v>
      </c>
      <c r="T401" s="42"/>
      <c r="U401" s="42"/>
      <c r="V401" s="42"/>
      <c r="W401" s="42"/>
    </row>
    <row r="402" spans="1:23" ht="21">
      <c r="A402" s="446">
        <v>394</v>
      </c>
      <c r="B402" s="358" t="s">
        <v>31</v>
      </c>
      <c r="C402" s="382" t="s">
        <v>853</v>
      </c>
      <c r="D402" s="383" t="s">
        <v>621</v>
      </c>
      <c r="E402" s="361" t="s">
        <v>678</v>
      </c>
      <c r="F402" s="362">
        <v>5</v>
      </c>
      <c r="G402" s="363">
        <v>3730600595054</v>
      </c>
      <c r="H402" s="364">
        <v>218053</v>
      </c>
      <c r="I402" s="307">
        <f t="shared" si="65"/>
        <v>62</v>
      </c>
      <c r="J402" s="306">
        <f t="shared" si="66"/>
        <v>8</v>
      </c>
      <c r="K402" s="306">
        <f t="shared" si="67"/>
        <v>29</v>
      </c>
      <c r="L402" s="306" t="str">
        <f t="shared" si="68"/>
        <v>62 ปี  8 เดือน  29 วัน</v>
      </c>
      <c r="M402" s="365">
        <f t="shared" si="64"/>
        <v>600</v>
      </c>
      <c r="N402" s="365"/>
      <c r="O402" s="410" t="s">
        <v>550</v>
      </c>
      <c r="T402" s="42"/>
      <c r="U402" s="42"/>
      <c r="V402" s="42"/>
      <c r="W402" s="42"/>
    </row>
    <row r="403" spans="1:23" ht="21">
      <c r="A403" s="446">
        <v>395</v>
      </c>
      <c r="B403" s="358" t="s">
        <v>30</v>
      </c>
      <c r="C403" s="382" t="s">
        <v>854</v>
      </c>
      <c r="D403" s="383" t="s">
        <v>453</v>
      </c>
      <c r="E403" s="361" t="s">
        <v>194</v>
      </c>
      <c r="F403" s="362">
        <v>5</v>
      </c>
      <c r="G403" s="363">
        <v>3730600597502</v>
      </c>
      <c r="H403" s="364">
        <v>218202</v>
      </c>
      <c r="I403" s="307">
        <f t="shared" si="65"/>
        <v>62</v>
      </c>
      <c r="J403" s="306">
        <f t="shared" si="66"/>
        <v>4</v>
      </c>
      <c r="K403" s="306">
        <f t="shared" si="67"/>
        <v>0</v>
      </c>
      <c r="L403" s="306" t="str">
        <f t="shared" si="68"/>
        <v>62 ปี  4 เดือน  0 วัน</v>
      </c>
      <c r="M403" s="365">
        <f t="shared" si="64"/>
        <v>600</v>
      </c>
      <c r="N403" s="365"/>
      <c r="O403" s="410" t="s">
        <v>550</v>
      </c>
      <c r="T403" s="42"/>
      <c r="U403" s="42"/>
      <c r="V403" s="42"/>
      <c r="W403" s="42"/>
    </row>
    <row r="404" spans="1:23" ht="21">
      <c r="A404" s="446">
        <v>396</v>
      </c>
      <c r="B404" s="358" t="s">
        <v>31</v>
      </c>
      <c r="C404" s="382" t="s">
        <v>251</v>
      </c>
      <c r="D404" s="383" t="s">
        <v>285</v>
      </c>
      <c r="E404" s="361" t="s">
        <v>841</v>
      </c>
      <c r="F404" s="362" t="s">
        <v>1179</v>
      </c>
      <c r="G404" s="363" t="s">
        <v>1382</v>
      </c>
      <c r="H404" s="364">
        <v>218476</v>
      </c>
      <c r="I404" s="307">
        <f t="shared" si="65"/>
        <v>61</v>
      </c>
      <c r="J404" s="306">
        <f t="shared" si="66"/>
        <v>7</v>
      </c>
      <c r="K404" s="306">
        <f t="shared" si="67"/>
        <v>2</v>
      </c>
      <c r="L404" s="306" t="str">
        <f t="shared" si="68"/>
        <v>61 ปี  7 เดือน  2 วัน</v>
      </c>
      <c r="M404" s="365">
        <f t="shared" si="64"/>
        <v>600</v>
      </c>
      <c r="N404" s="365"/>
      <c r="O404" s="403" t="s">
        <v>1202</v>
      </c>
      <c r="T404" s="42"/>
      <c r="U404" s="42"/>
      <c r="V404" s="42"/>
      <c r="W404" s="42"/>
    </row>
    <row r="405" spans="1:23" ht="21">
      <c r="A405" s="446">
        <v>397</v>
      </c>
      <c r="B405" s="358" t="s">
        <v>31</v>
      </c>
      <c r="C405" s="382" t="s">
        <v>1329</v>
      </c>
      <c r="D405" s="383" t="s">
        <v>1330</v>
      </c>
      <c r="E405" s="361" t="s">
        <v>125</v>
      </c>
      <c r="F405" s="362" t="s">
        <v>1179</v>
      </c>
      <c r="G405" s="363" t="s">
        <v>1331</v>
      </c>
      <c r="H405" s="364">
        <v>218418</v>
      </c>
      <c r="I405" s="307">
        <f t="shared" si="65"/>
        <v>61</v>
      </c>
      <c r="J405" s="306">
        <f t="shared" si="66"/>
        <v>8</v>
      </c>
      <c r="K405" s="306">
        <f t="shared" si="67"/>
        <v>29</v>
      </c>
      <c r="L405" s="306" t="str">
        <f t="shared" si="68"/>
        <v>61 ปี  8 เดือน  29 วัน</v>
      </c>
      <c r="M405" s="365">
        <f t="shared" si="64"/>
        <v>600</v>
      </c>
      <c r="N405" s="365"/>
      <c r="O405" s="403" t="s">
        <v>1202</v>
      </c>
      <c r="T405" s="42"/>
      <c r="U405" s="42"/>
      <c r="V405" s="42"/>
      <c r="W405" s="42"/>
    </row>
    <row r="406" spans="1:23" ht="21">
      <c r="A406" s="446">
        <v>398</v>
      </c>
      <c r="B406" s="358" t="s">
        <v>30</v>
      </c>
      <c r="C406" s="382" t="s">
        <v>45</v>
      </c>
      <c r="D406" s="383" t="s">
        <v>1332</v>
      </c>
      <c r="E406" s="361" t="s">
        <v>1333</v>
      </c>
      <c r="F406" s="362" t="s">
        <v>1179</v>
      </c>
      <c r="G406" s="363" t="s">
        <v>1334</v>
      </c>
      <c r="H406" s="364">
        <v>218418</v>
      </c>
      <c r="I406" s="307">
        <f t="shared" si="65"/>
        <v>61</v>
      </c>
      <c r="J406" s="306">
        <f t="shared" si="66"/>
        <v>8</v>
      </c>
      <c r="K406" s="306">
        <f t="shared" si="67"/>
        <v>29</v>
      </c>
      <c r="L406" s="306" t="str">
        <f t="shared" si="68"/>
        <v>61 ปี  8 เดือน  29 วัน</v>
      </c>
      <c r="M406" s="365">
        <f t="shared" si="64"/>
        <v>600</v>
      </c>
      <c r="N406" s="365"/>
      <c r="O406" s="403" t="s">
        <v>1202</v>
      </c>
      <c r="T406" s="42"/>
      <c r="U406" s="42"/>
      <c r="V406" s="42"/>
      <c r="W406" s="42"/>
    </row>
    <row r="407" spans="1:23" ht="21">
      <c r="A407" s="446">
        <v>399</v>
      </c>
      <c r="B407" s="358" t="s">
        <v>32</v>
      </c>
      <c r="C407" s="382" t="s">
        <v>363</v>
      </c>
      <c r="D407" s="383" t="s">
        <v>847</v>
      </c>
      <c r="E407" s="361" t="s">
        <v>1335</v>
      </c>
      <c r="F407" s="362" t="s">
        <v>1179</v>
      </c>
      <c r="G407" s="363" t="s">
        <v>1336</v>
      </c>
      <c r="H407" s="364">
        <v>218547</v>
      </c>
      <c r="I407" s="307">
        <f t="shared" si="65"/>
        <v>61</v>
      </c>
      <c r="J407" s="306">
        <f t="shared" si="66"/>
        <v>4</v>
      </c>
      <c r="K407" s="306">
        <f t="shared" si="67"/>
        <v>20</v>
      </c>
      <c r="L407" s="306" t="str">
        <f t="shared" si="68"/>
        <v>61 ปี  4 เดือน  20 วัน</v>
      </c>
      <c r="M407" s="365">
        <f t="shared" si="64"/>
        <v>600</v>
      </c>
      <c r="N407" s="365"/>
      <c r="O407" s="403" t="s">
        <v>1202</v>
      </c>
      <c r="T407" s="42"/>
      <c r="U407" s="42"/>
      <c r="V407" s="42"/>
      <c r="W407" s="42"/>
    </row>
    <row r="408" spans="1:23" ht="21">
      <c r="A408" s="446">
        <v>400</v>
      </c>
      <c r="B408" s="358" t="s">
        <v>31</v>
      </c>
      <c r="C408" s="382" t="s">
        <v>1337</v>
      </c>
      <c r="D408" s="383" t="s">
        <v>1040</v>
      </c>
      <c r="E408" s="361" t="s">
        <v>1102</v>
      </c>
      <c r="F408" s="362" t="s">
        <v>1179</v>
      </c>
      <c r="G408" s="363" t="s">
        <v>1338</v>
      </c>
      <c r="H408" s="364">
        <v>218418</v>
      </c>
      <c r="I408" s="307">
        <f t="shared" si="65"/>
        <v>61</v>
      </c>
      <c r="J408" s="306">
        <f t="shared" si="66"/>
        <v>8</v>
      </c>
      <c r="K408" s="306">
        <f t="shared" si="67"/>
        <v>29</v>
      </c>
      <c r="L408" s="306" t="str">
        <f t="shared" si="68"/>
        <v>61 ปี  8 เดือน  29 วัน</v>
      </c>
      <c r="M408" s="365">
        <f aca="true" t="shared" si="69" ref="M408:M416">IF(I408&lt;=69,600,IF(I408&lt;=79,700,IF(I408&lt;=89,800,IF(I408&gt;=90,1000))))</f>
        <v>600</v>
      </c>
      <c r="N408" s="365"/>
      <c r="O408" s="403" t="s">
        <v>1202</v>
      </c>
      <c r="T408" s="42"/>
      <c r="U408" s="42"/>
      <c r="V408" s="42"/>
      <c r="W408" s="42"/>
    </row>
    <row r="409" spans="1:23" ht="21">
      <c r="A409" s="446">
        <v>401</v>
      </c>
      <c r="B409" s="358" t="s">
        <v>32</v>
      </c>
      <c r="C409" s="382" t="s">
        <v>240</v>
      </c>
      <c r="D409" s="383" t="s">
        <v>1339</v>
      </c>
      <c r="E409" s="361" t="s">
        <v>103</v>
      </c>
      <c r="F409" s="362" t="s">
        <v>1179</v>
      </c>
      <c r="G409" s="363" t="s">
        <v>1340</v>
      </c>
      <c r="H409" s="364">
        <v>218418</v>
      </c>
      <c r="I409" s="307">
        <f t="shared" si="65"/>
        <v>61</v>
      </c>
      <c r="J409" s="306">
        <f t="shared" si="66"/>
        <v>8</v>
      </c>
      <c r="K409" s="306">
        <f t="shared" si="67"/>
        <v>29</v>
      </c>
      <c r="L409" s="306" t="str">
        <f t="shared" si="68"/>
        <v>61 ปี  8 เดือน  29 วัน</v>
      </c>
      <c r="M409" s="365">
        <f t="shared" si="69"/>
        <v>600</v>
      </c>
      <c r="N409" s="365"/>
      <c r="O409" s="403" t="s">
        <v>1202</v>
      </c>
      <c r="T409" s="42"/>
      <c r="U409" s="42"/>
      <c r="V409" s="42"/>
      <c r="W409" s="42"/>
    </row>
    <row r="410" spans="1:23" ht="21">
      <c r="A410" s="446">
        <v>402</v>
      </c>
      <c r="B410" s="358" t="s">
        <v>31</v>
      </c>
      <c r="C410" s="382" t="s">
        <v>260</v>
      </c>
      <c r="D410" s="383" t="s">
        <v>348</v>
      </c>
      <c r="E410" s="361" t="s">
        <v>1132</v>
      </c>
      <c r="F410" s="362" t="s">
        <v>1179</v>
      </c>
      <c r="G410" s="363" t="s">
        <v>1341</v>
      </c>
      <c r="H410" s="364">
        <v>218688</v>
      </c>
      <c r="I410" s="307">
        <f t="shared" si="65"/>
        <v>61</v>
      </c>
      <c r="J410" s="306">
        <f t="shared" si="66"/>
        <v>0</v>
      </c>
      <c r="K410" s="306">
        <f t="shared" si="67"/>
        <v>2</v>
      </c>
      <c r="L410" s="306" t="str">
        <f t="shared" si="68"/>
        <v>61 ปี  0 เดือน  2 วัน</v>
      </c>
      <c r="M410" s="365">
        <f t="shared" si="69"/>
        <v>600</v>
      </c>
      <c r="N410" s="365"/>
      <c r="O410" s="403" t="s">
        <v>1202</v>
      </c>
      <c r="T410" s="42"/>
      <c r="U410" s="42"/>
      <c r="V410" s="42"/>
      <c r="W410" s="42"/>
    </row>
    <row r="411" spans="1:23" ht="21">
      <c r="A411" s="446">
        <v>403</v>
      </c>
      <c r="B411" s="358" t="s">
        <v>31</v>
      </c>
      <c r="C411" s="382" t="s">
        <v>1342</v>
      </c>
      <c r="D411" s="383" t="s">
        <v>348</v>
      </c>
      <c r="E411" s="361" t="s">
        <v>820</v>
      </c>
      <c r="F411" s="362" t="s">
        <v>1179</v>
      </c>
      <c r="G411" s="363" t="s">
        <v>1343</v>
      </c>
      <c r="H411" s="364">
        <v>218521</v>
      </c>
      <c r="I411" s="307">
        <f t="shared" si="65"/>
        <v>61</v>
      </c>
      <c r="J411" s="306">
        <f t="shared" si="66"/>
        <v>5</v>
      </c>
      <c r="K411" s="306">
        <f t="shared" si="67"/>
        <v>16</v>
      </c>
      <c r="L411" s="306" t="str">
        <f t="shared" si="68"/>
        <v>61 ปี  5 เดือน  16 วัน</v>
      </c>
      <c r="M411" s="365">
        <f t="shared" si="69"/>
        <v>600</v>
      </c>
      <c r="N411" s="365"/>
      <c r="O411" s="403" t="s">
        <v>1202</v>
      </c>
      <c r="T411" s="42"/>
      <c r="U411" s="42"/>
      <c r="V411" s="42"/>
      <c r="W411" s="42"/>
    </row>
    <row r="412" spans="1:23" ht="21">
      <c r="A412" s="446">
        <v>404</v>
      </c>
      <c r="B412" s="358" t="s">
        <v>30</v>
      </c>
      <c r="C412" s="382" t="s">
        <v>140</v>
      </c>
      <c r="D412" s="383" t="s">
        <v>816</v>
      </c>
      <c r="E412" s="361" t="s">
        <v>73</v>
      </c>
      <c r="F412" s="362" t="s">
        <v>1179</v>
      </c>
      <c r="G412" s="363" t="s">
        <v>1344</v>
      </c>
      <c r="H412" s="364">
        <v>218574</v>
      </c>
      <c r="I412" s="307">
        <f t="shared" si="65"/>
        <v>61</v>
      </c>
      <c r="J412" s="306">
        <f t="shared" si="66"/>
        <v>3</v>
      </c>
      <c r="K412" s="306">
        <f t="shared" si="67"/>
        <v>24</v>
      </c>
      <c r="L412" s="306" t="str">
        <f t="shared" si="68"/>
        <v>61 ปี  3 เดือน  24 วัน</v>
      </c>
      <c r="M412" s="365">
        <f t="shared" si="69"/>
        <v>600</v>
      </c>
      <c r="N412" s="365"/>
      <c r="O412" s="403" t="s">
        <v>1202</v>
      </c>
      <c r="Q412" s="42"/>
      <c r="R412" s="42"/>
      <c r="S412" s="42"/>
      <c r="T412" s="42"/>
      <c r="U412" s="42"/>
      <c r="V412" s="42"/>
      <c r="W412" s="42"/>
    </row>
    <row r="413" spans="1:23" ht="21">
      <c r="A413" s="446">
        <v>405</v>
      </c>
      <c r="B413" s="358" t="s">
        <v>30</v>
      </c>
      <c r="C413" s="382" t="s">
        <v>163</v>
      </c>
      <c r="D413" s="383" t="s">
        <v>691</v>
      </c>
      <c r="E413" s="361" t="s">
        <v>109</v>
      </c>
      <c r="F413" s="362" t="s">
        <v>1179</v>
      </c>
      <c r="G413" s="363" t="s">
        <v>1345</v>
      </c>
      <c r="H413" s="364">
        <v>218418</v>
      </c>
      <c r="I413" s="307">
        <f t="shared" si="65"/>
        <v>61</v>
      </c>
      <c r="J413" s="306">
        <f t="shared" si="66"/>
        <v>8</v>
      </c>
      <c r="K413" s="306">
        <f t="shared" si="67"/>
        <v>29</v>
      </c>
      <c r="L413" s="306" t="str">
        <f t="shared" si="68"/>
        <v>61 ปี  8 เดือน  29 วัน</v>
      </c>
      <c r="M413" s="365">
        <f t="shared" si="69"/>
        <v>600</v>
      </c>
      <c r="N413" s="365"/>
      <c r="O413" s="403" t="s">
        <v>1202</v>
      </c>
      <c r="Q413" s="42"/>
      <c r="R413" s="42"/>
      <c r="S413" s="42"/>
      <c r="T413" s="42"/>
      <c r="U413" s="42"/>
      <c r="V413" s="42"/>
      <c r="W413" s="42"/>
    </row>
    <row r="414" spans="1:23" ht="21">
      <c r="A414" s="446">
        <v>406</v>
      </c>
      <c r="B414" s="358" t="s">
        <v>30</v>
      </c>
      <c r="C414" s="382" t="s">
        <v>1508</v>
      </c>
      <c r="D414" s="383" t="s">
        <v>828</v>
      </c>
      <c r="E414" s="361" t="s">
        <v>107</v>
      </c>
      <c r="F414" s="362" t="s">
        <v>1179</v>
      </c>
      <c r="G414" s="363">
        <v>3730600599581</v>
      </c>
      <c r="H414" s="364">
        <v>218608</v>
      </c>
      <c r="I414" s="422">
        <f t="shared" si="65"/>
        <v>61</v>
      </c>
      <c r="J414" s="423">
        <f t="shared" si="66"/>
        <v>2</v>
      </c>
      <c r="K414" s="423">
        <f t="shared" si="67"/>
        <v>20</v>
      </c>
      <c r="L414" s="423" t="str">
        <f t="shared" si="68"/>
        <v>61 ปี  2 เดือน  20 วัน</v>
      </c>
      <c r="M414" s="365">
        <f t="shared" si="69"/>
        <v>600</v>
      </c>
      <c r="N414" s="365"/>
      <c r="O414" s="429" t="s">
        <v>1500</v>
      </c>
      <c r="Q414" s="42"/>
      <c r="R414" s="42"/>
      <c r="S414" s="42"/>
      <c r="T414" s="42"/>
      <c r="U414" s="42"/>
      <c r="V414" s="42"/>
      <c r="W414" s="42"/>
    </row>
    <row r="415" spans="1:23" ht="21">
      <c r="A415" s="446">
        <v>407</v>
      </c>
      <c r="B415" s="358" t="s">
        <v>31</v>
      </c>
      <c r="C415" s="382" t="s">
        <v>1509</v>
      </c>
      <c r="D415" s="383" t="s">
        <v>1510</v>
      </c>
      <c r="E415" s="361" t="s">
        <v>67</v>
      </c>
      <c r="F415" s="362" t="s">
        <v>1179</v>
      </c>
      <c r="G415" s="363">
        <v>3730600599378</v>
      </c>
      <c r="H415" s="364">
        <v>218814</v>
      </c>
      <c r="I415" s="422">
        <f t="shared" si="65"/>
        <v>60</v>
      </c>
      <c r="J415" s="423">
        <f t="shared" si="66"/>
        <v>7</v>
      </c>
      <c r="K415" s="423">
        <f t="shared" si="67"/>
        <v>29</v>
      </c>
      <c r="L415" s="423" t="str">
        <f t="shared" si="68"/>
        <v>60 ปี  7 เดือน  29 วัน</v>
      </c>
      <c r="M415" s="365">
        <f t="shared" si="69"/>
        <v>600</v>
      </c>
      <c r="N415" s="365"/>
      <c r="O415" s="429" t="s">
        <v>1500</v>
      </c>
      <c r="Q415" s="42"/>
      <c r="R415" s="42"/>
      <c r="S415" s="42"/>
      <c r="T415" s="42"/>
      <c r="U415" s="42"/>
      <c r="V415" s="42"/>
      <c r="W415" s="42"/>
    </row>
    <row r="416" spans="1:23" ht="21">
      <c r="A416" s="446">
        <v>408</v>
      </c>
      <c r="B416" s="358" t="s">
        <v>31</v>
      </c>
      <c r="C416" s="382" t="s">
        <v>86</v>
      </c>
      <c r="D416" s="383" t="s">
        <v>816</v>
      </c>
      <c r="E416" s="361" t="s">
        <v>258</v>
      </c>
      <c r="F416" s="362" t="s">
        <v>1179</v>
      </c>
      <c r="G416" s="363">
        <v>3730600489611</v>
      </c>
      <c r="H416" s="364">
        <v>218783</v>
      </c>
      <c r="I416" s="422">
        <f t="shared" si="65"/>
        <v>60</v>
      </c>
      <c r="J416" s="423">
        <f t="shared" si="66"/>
        <v>8</v>
      </c>
      <c r="K416" s="423">
        <f t="shared" si="67"/>
        <v>29</v>
      </c>
      <c r="L416" s="423" t="str">
        <f t="shared" si="68"/>
        <v>60 ปี  8 เดือน  29 วัน</v>
      </c>
      <c r="M416" s="365">
        <f t="shared" si="69"/>
        <v>600</v>
      </c>
      <c r="N416" s="365"/>
      <c r="O416" s="429" t="s">
        <v>1500</v>
      </c>
      <c r="Q416" s="42"/>
      <c r="R416" s="42"/>
      <c r="S416" s="42"/>
      <c r="T416" s="42"/>
      <c r="U416" s="42"/>
      <c r="V416" s="42"/>
      <c r="W416" s="42"/>
    </row>
    <row r="417" spans="1:23" ht="23.25">
      <c r="A417" s="447"/>
      <c r="B417" s="385"/>
      <c r="C417" s="386" t="s">
        <v>1511</v>
      </c>
      <c r="D417" s="387" t="s">
        <v>451</v>
      </c>
      <c r="E417" s="388" t="s">
        <v>183</v>
      </c>
      <c r="F417" s="389" t="s">
        <v>1179</v>
      </c>
      <c r="G417" s="390">
        <v>3101701062597</v>
      </c>
      <c r="H417" s="391">
        <v>218053</v>
      </c>
      <c r="I417" s="423">
        <v>0</v>
      </c>
      <c r="J417" s="423">
        <f t="shared" si="66"/>
        <v>8</v>
      </c>
      <c r="K417" s="423">
        <f t="shared" si="67"/>
        <v>29</v>
      </c>
      <c r="L417" s="423" t="str">
        <f t="shared" si="68"/>
        <v>0 ปี  8 เดือน  29 วัน</v>
      </c>
      <c r="M417" s="384">
        <v>0</v>
      </c>
      <c r="N417" s="384"/>
      <c r="O417" s="393" t="s">
        <v>1533</v>
      </c>
      <c r="Q417" s="347" t="s">
        <v>1531</v>
      </c>
      <c r="R417" s="42"/>
      <c r="S417" s="42"/>
      <c r="T417" s="42"/>
      <c r="U417" s="42"/>
      <c r="V417" s="42"/>
      <c r="W417" s="42"/>
    </row>
    <row r="418" spans="1:23" ht="21">
      <c r="A418" s="446">
        <v>409</v>
      </c>
      <c r="B418" s="358" t="s">
        <v>31</v>
      </c>
      <c r="C418" s="382" t="s">
        <v>856</v>
      </c>
      <c r="D418" s="383" t="s">
        <v>616</v>
      </c>
      <c r="E418" s="361" t="s">
        <v>769</v>
      </c>
      <c r="F418" s="362">
        <v>6</v>
      </c>
      <c r="G418" s="363">
        <v>3730600586918</v>
      </c>
      <c r="H418" s="364">
        <v>215496</v>
      </c>
      <c r="I418" s="422">
        <f aca="true" t="shared" si="70" ref="I418:I450">DATEDIF(H418,$S$20,"Y")</f>
        <v>69</v>
      </c>
      <c r="J418" s="423">
        <f aca="true" t="shared" si="71" ref="J418:J450">DATEDIF(H418,$S$20,"YM")</f>
        <v>8</v>
      </c>
      <c r="K418" s="423">
        <f aca="true" t="shared" si="72" ref="K418:K450">DATEDIF(H418,$S$20,"MD")</f>
        <v>29</v>
      </c>
      <c r="L418" s="423" t="str">
        <f aca="true" t="shared" si="73" ref="L418:L450">I418&amp;" ปี  "&amp;J418&amp;" เดือน  "&amp;K418&amp;" วัน"</f>
        <v>69 ปี  8 เดือน  29 วัน</v>
      </c>
      <c r="M418" s="365">
        <f aca="true" t="shared" si="74" ref="M418:M450">IF(I418&lt;=69,600,IF(I418&lt;=79,700,IF(I418&lt;=89,800,IF(I418&gt;=90,1000))))</f>
        <v>600</v>
      </c>
      <c r="N418" s="365"/>
      <c r="O418" s="379"/>
      <c r="Q418" s="42"/>
      <c r="R418" s="42"/>
      <c r="S418" s="42"/>
      <c r="T418" s="42"/>
      <c r="U418" s="42"/>
      <c r="V418" s="42"/>
      <c r="W418" s="42"/>
    </row>
    <row r="419" spans="1:23" ht="21">
      <c r="A419" s="446">
        <v>410</v>
      </c>
      <c r="B419" s="358" t="s">
        <v>30</v>
      </c>
      <c r="C419" s="382" t="s">
        <v>857</v>
      </c>
      <c r="D419" s="383" t="s">
        <v>621</v>
      </c>
      <c r="E419" s="361" t="s">
        <v>114</v>
      </c>
      <c r="F419" s="362">
        <v>6</v>
      </c>
      <c r="G419" s="363">
        <v>3730600587027</v>
      </c>
      <c r="H419" s="364">
        <v>215960</v>
      </c>
      <c r="I419" s="422">
        <f t="shared" si="70"/>
        <v>68</v>
      </c>
      <c r="J419" s="423">
        <f t="shared" si="71"/>
        <v>5</v>
      </c>
      <c r="K419" s="423">
        <f t="shared" si="72"/>
        <v>20</v>
      </c>
      <c r="L419" s="423" t="str">
        <f t="shared" si="73"/>
        <v>68 ปี  5 เดือน  20 วัน</v>
      </c>
      <c r="M419" s="365">
        <f t="shared" si="74"/>
        <v>600</v>
      </c>
      <c r="N419" s="365"/>
      <c r="O419" s="379"/>
      <c r="Q419" s="42"/>
      <c r="R419" s="42"/>
      <c r="S419" s="42"/>
      <c r="T419" s="42"/>
      <c r="U419" s="42"/>
      <c r="V419" s="42"/>
      <c r="W419" s="42"/>
    </row>
    <row r="420" spans="1:23" ht="21">
      <c r="A420" s="446">
        <v>411</v>
      </c>
      <c r="B420" s="358" t="s">
        <v>32</v>
      </c>
      <c r="C420" s="382" t="s">
        <v>212</v>
      </c>
      <c r="D420" s="383" t="s">
        <v>858</v>
      </c>
      <c r="E420" s="361" t="s">
        <v>94</v>
      </c>
      <c r="F420" s="362">
        <v>6</v>
      </c>
      <c r="G420" s="363">
        <v>3730600589232</v>
      </c>
      <c r="H420" s="364">
        <v>215747</v>
      </c>
      <c r="I420" s="422">
        <f t="shared" si="70"/>
        <v>69</v>
      </c>
      <c r="J420" s="423">
        <f t="shared" si="71"/>
        <v>0</v>
      </c>
      <c r="K420" s="423">
        <f t="shared" si="72"/>
        <v>21</v>
      </c>
      <c r="L420" s="423" t="str">
        <f t="shared" si="73"/>
        <v>69 ปี  0 เดือน  21 วัน</v>
      </c>
      <c r="M420" s="365">
        <f t="shared" si="74"/>
        <v>600</v>
      </c>
      <c r="N420" s="365"/>
      <c r="O420" s="379"/>
      <c r="Q420" s="42"/>
      <c r="R420" s="42"/>
      <c r="S420" s="42"/>
      <c r="T420" s="42"/>
      <c r="U420" s="42"/>
      <c r="V420" s="42"/>
      <c r="W420" s="42"/>
    </row>
    <row r="421" spans="1:23" ht="21">
      <c r="A421" s="446">
        <v>412</v>
      </c>
      <c r="B421" s="358" t="s">
        <v>30</v>
      </c>
      <c r="C421" s="382" t="s">
        <v>859</v>
      </c>
      <c r="D421" s="383" t="s">
        <v>860</v>
      </c>
      <c r="E421" s="361" t="s">
        <v>105</v>
      </c>
      <c r="F421" s="362">
        <v>6</v>
      </c>
      <c r="G421" s="363">
        <v>3730600873828</v>
      </c>
      <c r="H421" s="364">
        <v>216345</v>
      </c>
      <c r="I421" s="422">
        <f t="shared" si="70"/>
        <v>67</v>
      </c>
      <c r="J421" s="423">
        <f t="shared" si="71"/>
        <v>5</v>
      </c>
      <c r="K421" s="423">
        <f t="shared" si="72"/>
        <v>1</v>
      </c>
      <c r="L421" s="423" t="str">
        <f t="shared" si="73"/>
        <v>67 ปี  5 เดือน  1 วัน</v>
      </c>
      <c r="M421" s="365">
        <f t="shared" si="74"/>
        <v>600</v>
      </c>
      <c r="N421" s="365"/>
      <c r="O421" s="379"/>
      <c r="Q421" s="42"/>
      <c r="R421" s="42"/>
      <c r="S421" s="42"/>
      <c r="T421" s="42"/>
      <c r="U421" s="42"/>
      <c r="V421" s="42"/>
      <c r="W421" s="42"/>
    </row>
    <row r="422" spans="1:23" ht="21">
      <c r="A422" s="446">
        <v>413</v>
      </c>
      <c r="B422" s="358" t="s">
        <v>30</v>
      </c>
      <c r="C422" s="382" t="s">
        <v>861</v>
      </c>
      <c r="D422" s="383" t="s">
        <v>860</v>
      </c>
      <c r="E422" s="361" t="s">
        <v>181</v>
      </c>
      <c r="F422" s="362">
        <v>6</v>
      </c>
      <c r="G422" s="363">
        <v>3730600588023</v>
      </c>
      <c r="H422" s="364">
        <v>216538</v>
      </c>
      <c r="I422" s="422">
        <f t="shared" si="70"/>
        <v>66</v>
      </c>
      <c r="J422" s="423">
        <f t="shared" si="71"/>
        <v>10</v>
      </c>
      <c r="K422" s="423">
        <f t="shared" si="72"/>
        <v>22</v>
      </c>
      <c r="L422" s="423" t="str">
        <f t="shared" si="73"/>
        <v>66 ปี  10 เดือน  22 วัน</v>
      </c>
      <c r="M422" s="365">
        <f t="shared" si="74"/>
        <v>600</v>
      </c>
      <c r="N422" s="365"/>
      <c r="O422" s="379"/>
      <c r="Q422" s="42"/>
      <c r="R422" s="42"/>
      <c r="S422" s="42"/>
      <c r="T422" s="42"/>
      <c r="U422" s="42"/>
      <c r="V422" s="42"/>
      <c r="W422" s="42"/>
    </row>
    <row r="423" spans="1:23" ht="21">
      <c r="A423" s="446">
        <v>414</v>
      </c>
      <c r="B423" s="358" t="s">
        <v>31</v>
      </c>
      <c r="C423" s="382" t="s">
        <v>140</v>
      </c>
      <c r="D423" s="383" t="s">
        <v>621</v>
      </c>
      <c r="E423" s="361" t="s">
        <v>114</v>
      </c>
      <c r="F423" s="362">
        <v>6</v>
      </c>
      <c r="G423" s="363">
        <v>3730600587051</v>
      </c>
      <c r="H423" s="364">
        <v>215496</v>
      </c>
      <c r="I423" s="422">
        <f t="shared" si="70"/>
        <v>69</v>
      </c>
      <c r="J423" s="423">
        <f t="shared" si="71"/>
        <v>8</v>
      </c>
      <c r="K423" s="423">
        <f t="shared" si="72"/>
        <v>29</v>
      </c>
      <c r="L423" s="423" t="str">
        <f t="shared" si="73"/>
        <v>69 ปี  8 เดือน  29 วัน</v>
      </c>
      <c r="M423" s="365">
        <f t="shared" si="74"/>
        <v>600</v>
      </c>
      <c r="N423" s="365"/>
      <c r="O423" s="379"/>
      <c r="Q423" s="42"/>
      <c r="R423" s="42"/>
      <c r="S423" s="42"/>
      <c r="T423" s="42"/>
      <c r="U423" s="42"/>
      <c r="V423" s="42"/>
      <c r="W423" s="42"/>
    </row>
    <row r="424" spans="1:23" ht="21">
      <c r="A424" s="446">
        <v>415</v>
      </c>
      <c r="B424" s="358" t="s">
        <v>30</v>
      </c>
      <c r="C424" s="382" t="s">
        <v>196</v>
      </c>
      <c r="D424" s="383" t="s">
        <v>858</v>
      </c>
      <c r="E424" s="361" t="s">
        <v>94</v>
      </c>
      <c r="F424" s="362">
        <v>6</v>
      </c>
      <c r="G424" s="363">
        <v>3730600589241</v>
      </c>
      <c r="H424" s="364">
        <v>216812</v>
      </c>
      <c r="I424" s="422">
        <f t="shared" si="70"/>
        <v>66</v>
      </c>
      <c r="J424" s="423" t="s">
        <v>1383</v>
      </c>
      <c r="K424" s="423">
        <f t="shared" si="72"/>
        <v>21</v>
      </c>
      <c r="L424" s="423" t="str">
        <f t="shared" si="73"/>
        <v>66 ปี                 เดือน  21 วัน</v>
      </c>
      <c r="M424" s="365">
        <f t="shared" si="74"/>
        <v>600</v>
      </c>
      <c r="N424" s="365"/>
      <c r="O424" s="379"/>
      <c r="Q424" s="42"/>
      <c r="R424" s="42"/>
      <c r="S424" s="42"/>
      <c r="T424" s="42"/>
      <c r="U424" s="42"/>
      <c r="V424" s="42"/>
      <c r="W424" s="42"/>
    </row>
    <row r="425" spans="1:23" ht="21">
      <c r="A425" s="446">
        <v>416</v>
      </c>
      <c r="B425" s="358" t="s">
        <v>30</v>
      </c>
      <c r="C425" s="382" t="s">
        <v>155</v>
      </c>
      <c r="D425" s="383" t="s">
        <v>862</v>
      </c>
      <c r="E425" s="361" t="s">
        <v>183</v>
      </c>
      <c r="F425" s="362">
        <v>6</v>
      </c>
      <c r="G425" s="363">
        <v>3730600142530</v>
      </c>
      <c r="H425" s="364">
        <v>216957</v>
      </c>
      <c r="I425" s="422">
        <f t="shared" si="70"/>
        <v>65</v>
      </c>
      <c r="J425" s="423">
        <f t="shared" si="71"/>
        <v>8</v>
      </c>
      <c r="K425" s="423">
        <f t="shared" si="72"/>
        <v>29</v>
      </c>
      <c r="L425" s="423" t="str">
        <f t="shared" si="73"/>
        <v>65 ปี  8 เดือน  29 วัน</v>
      </c>
      <c r="M425" s="365">
        <f t="shared" si="74"/>
        <v>600</v>
      </c>
      <c r="N425" s="365"/>
      <c r="O425" s="379"/>
      <c r="Q425" s="42"/>
      <c r="R425" s="42"/>
      <c r="S425" s="42"/>
      <c r="T425" s="42"/>
      <c r="U425" s="42"/>
      <c r="V425" s="42"/>
      <c r="W425" s="42"/>
    </row>
    <row r="426" spans="1:23" ht="21">
      <c r="A426" s="446">
        <v>417</v>
      </c>
      <c r="B426" s="358" t="s">
        <v>31</v>
      </c>
      <c r="C426" s="382" t="s">
        <v>863</v>
      </c>
      <c r="D426" s="383" t="s">
        <v>855</v>
      </c>
      <c r="E426" s="361" t="s">
        <v>864</v>
      </c>
      <c r="F426" s="362">
        <v>6</v>
      </c>
      <c r="G426" s="363">
        <v>3730600576556</v>
      </c>
      <c r="H426" s="364">
        <v>216947</v>
      </c>
      <c r="I426" s="422">
        <f t="shared" si="70"/>
        <v>65</v>
      </c>
      <c r="J426" s="423">
        <f t="shared" si="71"/>
        <v>9</v>
      </c>
      <c r="K426" s="423">
        <f t="shared" si="72"/>
        <v>8</v>
      </c>
      <c r="L426" s="423" t="str">
        <f t="shared" si="73"/>
        <v>65 ปี  9 เดือน  8 วัน</v>
      </c>
      <c r="M426" s="365">
        <f t="shared" si="74"/>
        <v>600</v>
      </c>
      <c r="N426" s="427"/>
      <c r="O426" s="379"/>
      <c r="Q426" s="42"/>
      <c r="R426" s="42"/>
      <c r="S426" s="42"/>
      <c r="T426" s="42"/>
      <c r="U426" s="42"/>
      <c r="V426" s="42"/>
      <c r="W426" s="42"/>
    </row>
    <row r="427" spans="1:23" ht="21">
      <c r="A427" s="446">
        <v>418</v>
      </c>
      <c r="B427" s="358" t="s">
        <v>31</v>
      </c>
      <c r="C427" s="382" t="s">
        <v>865</v>
      </c>
      <c r="D427" s="383" t="s">
        <v>616</v>
      </c>
      <c r="E427" s="361" t="s">
        <v>742</v>
      </c>
      <c r="F427" s="362">
        <v>6</v>
      </c>
      <c r="G427" s="363">
        <v>3730600584338</v>
      </c>
      <c r="H427" s="364">
        <v>217177</v>
      </c>
      <c r="I427" s="422">
        <f t="shared" si="70"/>
        <v>65</v>
      </c>
      <c r="J427" s="423">
        <f t="shared" si="71"/>
        <v>1</v>
      </c>
      <c r="K427" s="423">
        <f t="shared" si="72"/>
        <v>21</v>
      </c>
      <c r="L427" s="423" t="str">
        <f t="shared" si="73"/>
        <v>65 ปี  1 เดือน  21 วัน</v>
      </c>
      <c r="M427" s="365">
        <f t="shared" si="74"/>
        <v>600</v>
      </c>
      <c r="N427" s="428"/>
      <c r="O427" s="392"/>
      <c r="Q427" s="42"/>
      <c r="R427" s="42"/>
      <c r="S427" s="42"/>
      <c r="T427" s="42"/>
      <c r="U427" s="42"/>
      <c r="V427" s="42"/>
      <c r="W427" s="42"/>
    </row>
    <row r="428" spans="1:23" ht="21">
      <c r="A428" s="446">
        <v>419</v>
      </c>
      <c r="B428" s="358" t="s">
        <v>30</v>
      </c>
      <c r="C428" s="382" t="s">
        <v>866</v>
      </c>
      <c r="D428" s="383" t="s">
        <v>867</v>
      </c>
      <c r="E428" s="361" t="s">
        <v>868</v>
      </c>
      <c r="F428" s="362">
        <v>6</v>
      </c>
      <c r="G428" s="363">
        <v>3140400006395</v>
      </c>
      <c r="H428" s="364">
        <v>217322</v>
      </c>
      <c r="I428" s="422">
        <f t="shared" si="70"/>
        <v>64</v>
      </c>
      <c r="J428" s="423">
        <f t="shared" si="71"/>
        <v>8</v>
      </c>
      <c r="K428" s="423">
        <f t="shared" si="72"/>
        <v>29</v>
      </c>
      <c r="L428" s="423" t="str">
        <f t="shared" si="73"/>
        <v>64 ปี  8 เดือน  29 วัน</v>
      </c>
      <c r="M428" s="365">
        <f t="shared" si="74"/>
        <v>600</v>
      </c>
      <c r="N428" s="365"/>
      <c r="O428" s="379"/>
      <c r="W428" s="42"/>
    </row>
    <row r="429" spans="1:23" ht="21">
      <c r="A429" s="446">
        <v>420</v>
      </c>
      <c r="B429" s="358" t="s">
        <v>32</v>
      </c>
      <c r="C429" s="382" t="s">
        <v>869</v>
      </c>
      <c r="D429" s="383" t="s">
        <v>870</v>
      </c>
      <c r="E429" s="361" t="s">
        <v>185</v>
      </c>
      <c r="F429" s="362">
        <v>6</v>
      </c>
      <c r="G429" s="363">
        <v>3730600588309</v>
      </c>
      <c r="H429" s="364">
        <v>217360</v>
      </c>
      <c r="I429" s="422">
        <f t="shared" si="70"/>
        <v>64</v>
      </c>
      <c r="J429" s="423">
        <f t="shared" si="71"/>
        <v>7</v>
      </c>
      <c r="K429" s="423">
        <f t="shared" si="72"/>
        <v>22</v>
      </c>
      <c r="L429" s="423" t="str">
        <f t="shared" si="73"/>
        <v>64 ปี  7 เดือน  22 วัน</v>
      </c>
      <c r="M429" s="365">
        <f t="shared" si="74"/>
        <v>600</v>
      </c>
      <c r="N429" s="427"/>
      <c r="O429" s="379"/>
      <c r="W429" s="42"/>
    </row>
    <row r="430" spans="1:23" ht="21">
      <c r="A430" s="446">
        <v>421</v>
      </c>
      <c r="B430" s="358" t="s">
        <v>30</v>
      </c>
      <c r="C430" s="382" t="s">
        <v>198</v>
      </c>
      <c r="D430" s="383" t="s">
        <v>871</v>
      </c>
      <c r="E430" s="361" t="s">
        <v>66</v>
      </c>
      <c r="F430" s="362">
        <v>6</v>
      </c>
      <c r="G430" s="363">
        <v>3730600585067</v>
      </c>
      <c r="H430" s="364">
        <v>217322</v>
      </c>
      <c r="I430" s="422">
        <f t="shared" si="70"/>
        <v>64</v>
      </c>
      <c r="J430" s="423">
        <f t="shared" si="71"/>
        <v>8</v>
      </c>
      <c r="K430" s="423">
        <f t="shared" si="72"/>
        <v>29</v>
      </c>
      <c r="L430" s="423" t="str">
        <f t="shared" si="73"/>
        <v>64 ปี  8 เดือน  29 วัน</v>
      </c>
      <c r="M430" s="365">
        <f t="shared" si="74"/>
        <v>600</v>
      </c>
      <c r="N430" s="427"/>
      <c r="O430" s="379"/>
      <c r="W430" s="42"/>
    </row>
    <row r="431" spans="1:23" ht="21">
      <c r="A431" s="446">
        <v>422</v>
      </c>
      <c r="B431" s="358" t="s">
        <v>30</v>
      </c>
      <c r="C431" s="382" t="s">
        <v>872</v>
      </c>
      <c r="D431" s="383" t="s">
        <v>56</v>
      </c>
      <c r="E431" s="361" t="s">
        <v>112</v>
      </c>
      <c r="F431" s="362">
        <v>6</v>
      </c>
      <c r="G431" s="363">
        <v>3730600588074</v>
      </c>
      <c r="H431" s="364">
        <v>217322</v>
      </c>
      <c r="I431" s="422">
        <f t="shared" si="70"/>
        <v>64</v>
      </c>
      <c r="J431" s="423">
        <f t="shared" si="71"/>
        <v>8</v>
      </c>
      <c r="K431" s="423">
        <f t="shared" si="72"/>
        <v>29</v>
      </c>
      <c r="L431" s="423" t="str">
        <f t="shared" si="73"/>
        <v>64 ปี  8 เดือน  29 วัน</v>
      </c>
      <c r="M431" s="365">
        <f t="shared" si="74"/>
        <v>600</v>
      </c>
      <c r="N431" s="365"/>
      <c r="O431" s="379"/>
      <c r="W431" s="42"/>
    </row>
    <row r="432" spans="1:23" ht="21">
      <c r="A432" s="446">
        <v>423</v>
      </c>
      <c r="B432" s="358" t="s">
        <v>30</v>
      </c>
      <c r="C432" s="382" t="s">
        <v>54</v>
      </c>
      <c r="D432" s="383" t="s">
        <v>860</v>
      </c>
      <c r="E432" s="361" t="s">
        <v>108</v>
      </c>
      <c r="F432" s="362">
        <v>6</v>
      </c>
      <c r="G432" s="363">
        <v>3730600873925</v>
      </c>
      <c r="H432" s="364">
        <v>217695</v>
      </c>
      <c r="I432" s="422">
        <f t="shared" si="70"/>
        <v>63</v>
      </c>
      <c r="J432" s="423">
        <f t="shared" si="71"/>
        <v>8</v>
      </c>
      <c r="K432" s="423">
        <f t="shared" si="72"/>
        <v>21</v>
      </c>
      <c r="L432" s="423" t="str">
        <f t="shared" si="73"/>
        <v>63 ปี  8 เดือน  21 วัน</v>
      </c>
      <c r="M432" s="365">
        <f t="shared" si="74"/>
        <v>600</v>
      </c>
      <c r="N432" s="365"/>
      <c r="O432" s="379"/>
      <c r="W432" s="42"/>
    </row>
    <row r="433" spans="1:23" ht="21">
      <c r="A433" s="446">
        <v>424</v>
      </c>
      <c r="B433" s="358" t="s">
        <v>30</v>
      </c>
      <c r="C433" s="382" t="s">
        <v>873</v>
      </c>
      <c r="D433" s="383" t="s">
        <v>300</v>
      </c>
      <c r="E433" s="361" t="s">
        <v>113</v>
      </c>
      <c r="F433" s="362">
        <v>6</v>
      </c>
      <c r="G433" s="363">
        <v>3730600581258</v>
      </c>
      <c r="H433" s="364">
        <v>217739</v>
      </c>
      <c r="I433" s="422">
        <f t="shared" si="70"/>
        <v>63</v>
      </c>
      <c r="J433" s="423">
        <f t="shared" si="71"/>
        <v>7</v>
      </c>
      <c r="K433" s="423">
        <f t="shared" si="72"/>
        <v>8</v>
      </c>
      <c r="L433" s="423" t="str">
        <f t="shared" si="73"/>
        <v>63 ปี  7 เดือน  8 วัน</v>
      </c>
      <c r="M433" s="365">
        <f t="shared" si="74"/>
        <v>600</v>
      </c>
      <c r="N433" s="365"/>
      <c r="O433" s="379"/>
      <c r="W433" s="42"/>
    </row>
    <row r="434" spans="1:23" ht="21">
      <c r="A434" s="446">
        <v>425</v>
      </c>
      <c r="B434" s="358" t="s">
        <v>31</v>
      </c>
      <c r="C434" s="382" t="s">
        <v>141</v>
      </c>
      <c r="D434" s="383" t="s">
        <v>860</v>
      </c>
      <c r="E434" s="361" t="s">
        <v>874</v>
      </c>
      <c r="F434" s="362">
        <v>6</v>
      </c>
      <c r="G434" s="363">
        <v>3730600589518</v>
      </c>
      <c r="H434" s="364">
        <v>217687</v>
      </c>
      <c r="I434" s="422">
        <f t="shared" si="70"/>
        <v>63</v>
      </c>
      <c r="J434" s="423">
        <f t="shared" si="71"/>
        <v>8</v>
      </c>
      <c r="K434" s="423">
        <f t="shared" si="72"/>
        <v>29</v>
      </c>
      <c r="L434" s="423" t="str">
        <f t="shared" si="73"/>
        <v>63 ปี  8 เดือน  29 วัน</v>
      </c>
      <c r="M434" s="365">
        <f t="shared" si="74"/>
        <v>600</v>
      </c>
      <c r="N434" s="365"/>
      <c r="O434" s="393"/>
      <c r="W434" s="42"/>
    </row>
    <row r="435" spans="1:23" ht="21">
      <c r="A435" s="446">
        <v>426</v>
      </c>
      <c r="B435" s="358" t="s">
        <v>31</v>
      </c>
      <c r="C435" s="382" t="s">
        <v>759</v>
      </c>
      <c r="D435" s="383" t="s">
        <v>875</v>
      </c>
      <c r="E435" s="361" t="s">
        <v>189</v>
      </c>
      <c r="F435" s="362">
        <v>6</v>
      </c>
      <c r="G435" s="363">
        <v>3730600133182</v>
      </c>
      <c r="H435" s="364">
        <v>217322</v>
      </c>
      <c r="I435" s="307">
        <f t="shared" si="70"/>
        <v>64</v>
      </c>
      <c r="J435" s="306">
        <f t="shared" si="71"/>
        <v>8</v>
      </c>
      <c r="K435" s="306">
        <f t="shared" si="72"/>
        <v>29</v>
      </c>
      <c r="L435" s="306" t="str">
        <f t="shared" si="73"/>
        <v>64 ปี  8 เดือน  29 วัน</v>
      </c>
      <c r="M435" s="365">
        <f t="shared" si="74"/>
        <v>600</v>
      </c>
      <c r="N435" s="365"/>
      <c r="O435" s="410" t="s">
        <v>550</v>
      </c>
      <c r="P435" s="42">
        <v>72</v>
      </c>
      <c r="W435" s="42"/>
    </row>
    <row r="436" spans="1:23" ht="21">
      <c r="A436" s="446">
        <v>427</v>
      </c>
      <c r="B436" s="358" t="s">
        <v>32</v>
      </c>
      <c r="C436" s="382" t="s">
        <v>876</v>
      </c>
      <c r="D436" s="383" t="s">
        <v>663</v>
      </c>
      <c r="E436" s="361" t="s">
        <v>188</v>
      </c>
      <c r="F436" s="362">
        <v>6</v>
      </c>
      <c r="G436" s="363">
        <v>3730600587922</v>
      </c>
      <c r="H436" s="364">
        <v>218053</v>
      </c>
      <c r="I436" s="307">
        <f t="shared" si="70"/>
        <v>62</v>
      </c>
      <c r="J436" s="306">
        <f t="shared" si="71"/>
        <v>8</v>
      </c>
      <c r="K436" s="306">
        <f t="shared" si="72"/>
        <v>29</v>
      </c>
      <c r="L436" s="306" t="str">
        <f t="shared" si="73"/>
        <v>62 ปี  8 เดือน  29 วัน</v>
      </c>
      <c r="M436" s="365">
        <f t="shared" si="74"/>
        <v>600</v>
      </c>
      <c r="N436" s="365"/>
      <c r="O436" s="410" t="s">
        <v>550</v>
      </c>
      <c r="P436" s="42">
        <v>73</v>
      </c>
      <c r="W436" s="42"/>
    </row>
    <row r="437" spans="1:23" ht="21">
      <c r="A437" s="446">
        <v>428</v>
      </c>
      <c r="B437" s="358" t="s">
        <v>1346</v>
      </c>
      <c r="C437" s="382" t="s">
        <v>1347</v>
      </c>
      <c r="D437" s="383" t="s">
        <v>1348</v>
      </c>
      <c r="E437" s="361" t="s">
        <v>188</v>
      </c>
      <c r="F437" s="362" t="s">
        <v>1349</v>
      </c>
      <c r="G437" s="363" t="s">
        <v>1350</v>
      </c>
      <c r="H437" s="364">
        <v>218644</v>
      </c>
      <c r="I437" s="307">
        <f t="shared" si="70"/>
        <v>61</v>
      </c>
      <c r="J437" s="306">
        <f t="shared" si="71"/>
        <v>1</v>
      </c>
      <c r="K437" s="306">
        <f t="shared" si="72"/>
        <v>15</v>
      </c>
      <c r="L437" s="306" t="str">
        <f t="shared" si="73"/>
        <v>61 ปี  1 เดือน  15 วัน</v>
      </c>
      <c r="M437" s="365">
        <f t="shared" si="74"/>
        <v>600</v>
      </c>
      <c r="N437" s="365"/>
      <c r="O437" s="403" t="s">
        <v>1202</v>
      </c>
      <c r="P437" s="42">
        <v>74</v>
      </c>
      <c r="W437" s="42"/>
    </row>
    <row r="438" spans="1:23" ht="21">
      <c r="A438" s="446">
        <v>429</v>
      </c>
      <c r="B438" s="358" t="s">
        <v>30</v>
      </c>
      <c r="C438" s="382" t="s">
        <v>1351</v>
      </c>
      <c r="D438" s="383" t="s">
        <v>1352</v>
      </c>
      <c r="E438" s="361" t="s">
        <v>99</v>
      </c>
      <c r="F438" s="362" t="s">
        <v>1349</v>
      </c>
      <c r="G438" s="363" t="s">
        <v>1353</v>
      </c>
      <c r="H438" s="364">
        <v>218594</v>
      </c>
      <c r="I438" s="307">
        <f t="shared" si="70"/>
        <v>61</v>
      </c>
      <c r="J438" s="306">
        <f t="shared" si="71"/>
        <v>3</v>
      </c>
      <c r="K438" s="306">
        <f t="shared" si="72"/>
        <v>4</v>
      </c>
      <c r="L438" s="306" t="str">
        <f t="shared" si="73"/>
        <v>61 ปี  3 เดือน  4 วัน</v>
      </c>
      <c r="M438" s="365">
        <f t="shared" si="74"/>
        <v>600</v>
      </c>
      <c r="N438" s="365"/>
      <c r="O438" s="403" t="s">
        <v>1202</v>
      </c>
      <c r="P438" s="42">
        <v>75</v>
      </c>
      <c r="W438" s="42"/>
    </row>
    <row r="439" spans="1:23" ht="21">
      <c r="A439" s="446">
        <v>430</v>
      </c>
      <c r="B439" s="358" t="s">
        <v>32</v>
      </c>
      <c r="C439" s="382" t="s">
        <v>90</v>
      </c>
      <c r="D439" s="383" t="s">
        <v>1191</v>
      </c>
      <c r="E439" s="361" t="s">
        <v>266</v>
      </c>
      <c r="F439" s="362" t="s">
        <v>1349</v>
      </c>
      <c r="G439" s="363" t="s">
        <v>1354</v>
      </c>
      <c r="H439" s="364">
        <v>218424</v>
      </c>
      <c r="I439" s="307">
        <f t="shared" si="70"/>
        <v>61</v>
      </c>
      <c r="J439" s="306">
        <f t="shared" si="71"/>
        <v>8</v>
      </c>
      <c r="K439" s="306">
        <f t="shared" si="72"/>
        <v>23</v>
      </c>
      <c r="L439" s="306" t="str">
        <f t="shared" si="73"/>
        <v>61 ปี  8 เดือน  23 วัน</v>
      </c>
      <c r="M439" s="365">
        <f t="shared" si="74"/>
        <v>600</v>
      </c>
      <c r="N439" s="365"/>
      <c r="O439" s="403" t="s">
        <v>1202</v>
      </c>
      <c r="R439" s="96"/>
      <c r="S439" s="96"/>
      <c r="T439" s="119"/>
      <c r="U439" s="459"/>
      <c r="V439" s="459"/>
      <c r="W439" s="42"/>
    </row>
    <row r="440" spans="1:23" ht="21">
      <c r="A440" s="446">
        <v>431</v>
      </c>
      <c r="B440" s="358" t="s">
        <v>30</v>
      </c>
      <c r="C440" s="382" t="s">
        <v>648</v>
      </c>
      <c r="D440" s="383" t="s">
        <v>858</v>
      </c>
      <c r="E440" s="361" t="s">
        <v>63</v>
      </c>
      <c r="F440" s="362" t="s">
        <v>1349</v>
      </c>
      <c r="G440" s="363" t="s">
        <v>1355</v>
      </c>
      <c r="H440" s="364">
        <v>218451</v>
      </c>
      <c r="I440" s="307">
        <f t="shared" si="70"/>
        <v>61</v>
      </c>
      <c r="J440" s="306">
        <f t="shared" si="71"/>
        <v>7</v>
      </c>
      <c r="K440" s="306">
        <f t="shared" si="72"/>
        <v>27</v>
      </c>
      <c r="L440" s="306" t="str">
        <f t="shared" si="73"/>
        <v>61 ปี  7 เดือน  27 วัน</v>
      </c>
      <c r="M440" s="365">
        <f t="shared" si="74"/>
        <v>600</v>
      </c>
      <c r="N440" s="365"/>
      <c r="O440" s="403" t="s">
        <v>1202</v>
      </c>
      <c r="R440" s="172"/>
      <c r="S440" s="96"/>
      <c r="T440" s="119"/>
      <c r="U440" s="175"/>
      <c r="V440" s="96"/>
      <c r="W440" s="42"/>
    </row>
    <row r="441" spans="1:23" ht="21">
      <c r="A441" s="446">
        <v>432</v>
      </c>
      <c r="B441" s="358" t="s">
        <v>31</v>
      </c>
      <c r="C441" s="382" t="s">
        <v>223</v>
      </c>
      <c r="D441" s="383" t="s">
        <v>1356</v>
      </c>
      <c r="E441" s="361" t="s">
        <v>1357</v>
      </c>
      <c r="F441" s="362" t="s">
        <v>1349</v>
      </c>
      <c r="G441" s="363" t="s">
        <v>1358</v>
      </c>
      <c r="H441" s="364">
        <v>218383</v>
      </c>
      <c r="I441" s="307">
        <f t="shared" si="70"/>
        <v>61</v>
      </c>
      <c r="J441" s="306">
        <f t="shared" si="71"/>
        <v>10</v>
      </c>
      <c r="K441" s="306">
        <f t="shared" si="72"/>
        <v>3</v>
      </c>
      <c r="L441" s="306" t="str">
        <f t="shared" si="73"/>
        <v>61 ปี  10 เดือน  3 วัน</v>
      </c>
      <c r="M441" s="365">
        <f t="shared" si="74"/>
        <v>600</v>
      </c>
      <c r="N441" s="365"/>
      <c r="O441" s="403" t="s">
        <v>1202</v>
      </c>
      <c r="R441" s="172"/>
      <c r="S441" s="96"/>
      <c r="T441" s="119"/>
      <c r="U441" s="175"/>
      <c r="V441" s="96"/>
      <c r="W441" s="42"/>
    </row>
    <row r="442" spans="1:23" ht="21">
      <c r="A442" s="446">
        <v>433</v>
      </c>
      <c r="B442" s="358" t="s">
        <v>31</v>
      </c>
      <c r="C442" s="382" t="s">
        <v>1359</v>
      </c>
      <c r="D442" s="383" t="s">
        <v>56</v>
      </c>
      <c r="E442" s="361" t="s">
        <v>112</v>
      </c>
      <c r="F442" s="362" t="s">
        <v>1349</v>
      </c>
      <c r="G442" s="363" t="s">
        <v>1360</v>
      </c>
      <c r="H442" s="364">
        <v>218389</v>
      </c>
      <c r="I442" s="307">
        <f t="shared" si="70"/>
        <v>61</v>
      </c>
      <c r="J442" s="306">
        <f t="shared" si="71"/>
        <v>9</v>
      </c>
      <c r="K442" s="306">
        <f t="shared" si="72"/>
        <v>27</v>
      </c>
      <c r="L442" s="306" t="str">
        <f t="shared" si="73"/>
        <v>61 ปี  9 เดือน  27 วัน</v>
      </c>
      <c r="M442" s="365">
        <f t="shared" si="74"/>
        <v>600</v>
      </c>
      <c r="N442" s="365"/>
      <c r="O442" s="403" t="s">
        <v>1202</v>
      </c>
      <c r="R442" s="172"/>
      <c r="S442" s="96"/>
      <c r="T442" s="119"/>
      <c r="U442" s="175"/>
      <c r="V442" s="96"/>
      <c r="W442" s="42"/>
    </row>
    <row r="443" spans="1:23" ht="21">
      <c r="A443" s="446">
        <v>434</v>
      </c>
      <c r="B443" s="358" t="s">
        <v>31</v>
      </c>
      <c r="C443" s="382" t="s">
        <v>1361</v>
      </c>
      <c r="D443" s="383" t="s">
        <v>1362</v>
      </c>
      <c r="E443" s="361" t="s">
        <v>372</v>
      </c>
      <c r="F443" s="362" t="s">
        <v>1349</v>
      </c>
      <c r="G443" s="363" t="s">
        <v>1363</v>
      </c>
      <c r="H443" s="364">
        <v>218545</v>
      </c>
      <c r="I443" s="307">
        <f t="shared" si="70"/>
        <v>61</v>
      </c>
      <c r="J443" s="306">
        <f t="shared" si="71"/>
        <v>4</v>
      </c>
      <c r="K443" s="306">
        <f t="shared" si="72"/>
        <v>22</v>
      </c>
      <c r="L443" s="306" t="str">
        <f t="shared" si="73"/>
        <v>61 ปี  4 เดือน  22 วัน</v>
      </c>
      <c r="M443" s="365">
        <f t="shared" si="74"/>
        <v>600</v>
      </c>
      <c r="N443" s="365"/>
      <c r="O443" s="403" t="s">
        <v>1202</v>
      </c>
      <c r="R443" s="172"/>
      <c r="S443" s="96"/>
      <c r="T443" s="119"/>
      <c r="U443" s="175"/>
      <c r="V443" s="96"/>
      <c r="W443" s="42"/>
    </row>
    <row r="444" spans="1:23" ht="21">
      <c r="A444" s="446">
        <v>435</v>
      </c>
      <c r="B444" s="358" t="s">
        <v>31</v>
      </c>
      <c r="C444" s="382" t="s">
        <v>169</v>
      </c>
      <c r="D444" s="383" t="s">
        <v>1364</v>
      </c>
      <c r="E444" s="361" t="s">
        <v>665</v>
      </c>
      <c r="F444" s="362" t="s">
        <v>1349</v>
      </c>
      <c r="G444" s="363" t="s">
        <v>1365</v>
      </c>
      <c r="H444" s="364">
        <v>218418</v>
      </c>
      <c r="I444" s="307">
        <f t="shared" si="70"/>
        <v>61</v>
      </c>
      <c r="J444" s="306">
        <f t="shared" si="71"/>
        <v>8</v>
      </c>
      <c r="K444" s="306">
        <f t="shared" si="72"/>
        <v>29</v>
      </c>
      <c r="L444" s="306" t="str">
        <f t="shared" si="73"/>
        <v>61 ปี  8 เดือน  29 วัน</v>
      </c>
      <c r="M444" s="365">
        <f t="shared" si="74"/>
        <v>600</v>
      </c>
      <c r="N444" s="365"/>
      <c r="O444" s="403" t="s">
        <v>1202</v>
      </c>
      <c r="R444" s="172"/>
      <c r="S444" s="96"/>
      <c r="T444" s="119"/>
      <c r="U444" s="459"/>
      <c r="V444" s="459"/>
      <c r="W444" s="42"/>
    </row>
    <row r="445" spans="1:23" ht="21">
      <c r="A445" s="446">
        <v>436</v>
      </c>
      <c r="B445" s="358" t="s">
        <v>30</v>
      </c>
      <c r="C445" s="382" t="s">
        <v>1366</v>
      </c>
      <c r="D445" s="383" t="s">
        <v>1180</v>
      </c>
      <c r="E445" s="361" t="s">
        <v>179</v>
      </c>
      <c r="F445" s="362" t="s">
        <v>1349</v>
      </c>
      <c r="G445" s="363" t="s">
        <v>1367</v>
      </c>
      <c r="H445" s="364">
        <v>218418</v>
      </c>
      <c r="I445" s="307">
        <f t="shared" si="70"/>
        <v>61</v>
      </c>
      <c r="J445" s="306">
        <f t="shared" si="71"/>
        <v>8</v>
      </c>
      <c r="K445" s="306">
        <f t="shared" si="72"/>
        <v>29</v>
      </c>
      <c r="L445" s="306" t="str">
        <f t="shared" si="73"/>
        <v>61 ปี  8 เดือน  29 วัน</v>
      </c>
      <c r="M445" s="365">
        <f t="shared" si="74"/>
        <v>600</v>
      </c>
      <c r="N445" s="365"/>
      <c r="O445" s="403" t="s">
        <v>1202</v>
      </c>
      <c r="R445" s="172"/>
      <c r="S445" s="96"/>
      <c r="T445" s="119"/>
      <c r="U445" s="119"/>
      <c r="V445" s="176"/>
      <c r="W445" s="42"/>
    </row>
    <row r="446" spans="1:23" ht="21">
      <c r="A446" s="446">
        <v>437</v>
      </c>
      <c r="B446" s="358" t="s">
        <v>31</v>
      </c>
      <c r="C446" s="382" t="s">
        <v>1368</v>
      </c>
      <c r="D446" s="383" t="s">
        <v>636</v>
      </c>
      <c r="E446" s="361" t="s">
        <v>66</v>
      </c>
      <c r="F446" s="362" t="s">
        <v>1349</v>
      </c>
      <c r="G446" s="363" t="s">
        <v>1369</v>
      </c>
      <c r="H446" s="364">
        <v>218349</v>
      </c>
      <c r="I446" s="307">
        <f t="shared" si="70"/>
        <v>61</v>
      </c>
      <c r="J446" s="306">
        <f t="shared" si="71"/>
        <v>11</v>
      </c>
      <c r="K446" s="306">
        <f t="shared" si="72"/>
        <v>6</v>
      </c>
      <c r="L446" s="306" t="str">
        <f t="shared" si="73"/>
        <v>61 ปี  11 เดือน  6 วัน</v>
      </c>
      <c r="M446" s="365">
        <f t="shared" si="74"/>
        <v>600</v>
      </c>
      <c r="N446" s="365"/>
      <c r="O446" s="403" t="s">
        <v>1202</v>
      </c>
      <c r="R446" s="172"/>
      <c r="S446" s="96"/>
      <c r="T446" s="119"/>
      <c r="U446" s="119"/>
      <c r="V446" s="119"/>
      <c r="W446" s="42"/>
    </row>
    <row r="447" spans="1:23" ht="21">
      <c r="A447" s="446">
        <v>438</v>
      </c>
      <c r="B447" s="358" t="s">
        <v>30</v>
      </c>
      <c r="C447" s="382" t="s">
        <v>670</v>
      </c>
      <c r="D447" s="383" t="s">
        <v>1112</v>
      </c>
      <c r="E447" s="361" t="s">
        <v>107</v>
      </c>
      <c r="F447" s="362" t="s">
        <v>1349</v>
      </c>
      <c r="G447" s="363">
        <v>3730600127255</v>
      </c>
      <c r="H447" s="364">
        <v>218797</v>
      </c>
      <c r="I447" s="307">
        <f t="shared" si="70"/>
        <v>60</v>
      </c>
      <c r="J447" s="306">
        <f t="shared" si="71"/>
        <v>8</v>
      </c>
      <c r="K447" s="306">
        <f t="shared" si="72"/>
        <v>15</v>
      </c>
      <c r="L447" s="306" t="str">
        <f t="shared" si="73"/>
        <v>60 ปี  8 เดือน  15 วัน</v>
      </c>
      <c r="M447" s="365">
        <f t="shared" si="74"/>
        <v>600</v>
      </c>
      <c r="N447" s="365"/>
      <c r="O447" s="429" t="s">
        <v>1500</v>
      </c>
      <c r="R447" s="172"/>
      <c r="S447" s="96"/>
      <c r="T447" s="119"/>
      <c r="U447" s="119"/>
      <c r="V447" s="119"/>
      <c r="W447" s="42"/>
    </row>
    <row r="448" spans="1:23" ht="21">
      <c r="A448" s="446">
        <v>439</v>
      </c>
      <c r="B448" s="358" t="s">
        <v>32</v>
      </c>
      <c r="C448" s="382" t="s">
        <v>1512</v>
      </c>
      <c r="D448" s="383" t="s">
        <v>1519</v>
      </c>
      <c r="E448" s="361" t="s">
        <v>868</v>
      </c>
      <c r="F448" s="362" t="s">
        <v>1349</v>
      </c>
      <c r="G448" s="363">
        <v>3730600134979</v>
      </c>
      <c r="H448" s="364">
        <v>219025</v>
      </c>
      <c r="I448" s="307">
        <f t="shared" si="70"/>
        <v>60</v>
      </c>
      <c r="J448" s="306">
        <f t="shared" si="71"/>
        <v>0</v>
      </c>
      <c r="K448" s="306">
        <f t="shared" si="72"/>
        <v>30</v>
      </c>
      <c r="L448" s="306" t="str">
        <f t="shared" si="73"/>
        <v>60 ปี  0 เดือน  30 วัน</v>
      </c>
      <c r="M448" s="365">
        <f t="shared" si="74"/>
        <v>600</v>
      </c>
      <c r="N448" s="365"/>
      <c r="O448" s="429" t="s">
        <v>1500</v>
      </c>
      <c r="R448" s="172"/>
      <c r="S448" s="96"/>
      <c r="T448" s="119"/>
      <c r="U448" s="119"/>
      <c r="V448" s="119"/>
      <c r="W448" s="42"/>
    </row>
    <row r="449" spans="1:23" ht="21">
      <c r="A449" s="446">
        <v>440</v>
      </c>
      <c r="B449" s="358" t="s">
        <v>31</v>
      </c>
      <c r="C449" s="382" t="s">
        <v>1526</v>
      </c>
      <c r="D449" s="383" t="s">
        <v>1513</v>
      </c>
      <c r="E449" s="361" t="s">
        <v>69</v>
      </c>
      <c r="F449" s="362" t="s">
        <v>1349</v>
      </c>
      <c r="G449" s="363">
        <v>3102200404984</v>
      </c>
      <c r="H449" s="364">
        <v>218787</v>
      </c>
      <c r="I449" s="307">
        <f t="shared" si="70"/>
        <v>60</v>
      </c>
      <c r="J449" s="306">
        <f t="shared" si="71"/>
        <v>8</v>
      </c>
      <c r="K449" s="306">
        <f t="shared" si="72"/>
        <v>25</v>
      </c>
      <c r="L449" s="306" t="str">
        <f t="shared" si="73"/>
        <v>60 ปี  8 เดือน  25 วัน</v>
      </c>
      <c r="M449" s="365">
        <f t="shared" si="74"/>
        <v>600</v>
      </c>
      <c r="N449" s="365"/>
      <c r="O449" s="429" t="s">
        <v>1500</v>
      </c>
      <c r="R449" s="172"/>
      <c r="S449" s="96"/>
      <c r="T449" s="119"/>
      <c r="U449" s="119"/>
      <c r="V449" s="119"/>
      <c r="W449" s="42"/>
    </row>
    <row r="450" spans="1:23" ht="21">
      <c r="A450" s="446">
        <v>441</v>
      </c>
      <c r="B450" s="358" t="s">
        <v>31</v>
      </c>
      <c r="C450" s="382" t="s">
        <v>685</v>
      </c>
      <c r="D450" s="383" t="s">
        <v>1514</v>
      </c>
      <c r="E450" s="361" t="s">
        <v>1515</v>
      </c>
      <c r="F450" s="362" t="s">
        <v>1349</v>
      </c>
      <c r="G450" s="363">
        <v>3809700144922</v>
      </c>
      <c r="H450" s="364">
        <v>218134</v>
      </c>
      <c r="I450" s="307">
        <f t="shared" si="70"/>
        <v>62</v>
      </c>
      <c r="J450" s="306">
        <f t="shared" si="71"/>
        <v>6</v>
      </c>
      <c r="K450" s="306">
        <f t="shared" si="72"/>
        <v>7</v>
      </c>
      <c r="L450" s="306" t="str">
        <f t="shared" si="73"/>
        <v>62 ปี  6 เดือน  7 วัน</v>
      </c>
      <c r="M450" s="365">
        <f t="shared" si="74"/>
        <v>600</v>
      </c>
      <c r="N450" s="365"/>
      <c r="O450" s="429" t="s">
        <v>1500</v>
      </c>
      <c r="R450" s="172"/>
      <c r="S450" s="96"/>
      <c r="T450" s="119"/>
      <c r="U450" s="119"/>
      <c r="V450" s="119"/>
      <c r="W450" s="42"/>
    </row>
    <row r="451" spans="1:23" ht="21">
      <c r="A451" s="446">
        <v>442</v>
      </c>
      <c r="B451" s="358" t="s">
        <v>31</v>
      </c>
      <c r="C451" s="382" t="s">
        <v>201</v>
      </c>
      <c r="D451" s="383" t="s">
        <v>1316</v>
      </c>
      <c r="E451" s="361" t="s">
        <v>763</v>
      </c>
      <c r="F451" s="362" t="s">
        <v>1349</v>
      </c>
      <c r="G451" s="363">
        <v>3730600587612</v>
      </c>
      <c r="H451" s="364">
        <v>219001</v>
      </c>
      <c r="I451" s="307">
        <f>DATEDIF(H451,$S$20,"Y")</f>
        <v>60</v>
      </c>
      <c r="J451" s="306">
        <f>DATEDIF(H451,$S$20,"YM")</f>
        <v>1</v>
      </c>
      <c r="K451" s="306">
        <f>DATEDIF(H451,$S$20,"MD")</f>
        <v>23</v>
      </c>
      <c r="L451" s="306" t="str">
        <f>I451&amp;" ปี  "&amp;J451&amp;" เดือน  "&amp;K451&amp;" วัน"</f>
        <v>60 ปี  1 เดือน  23 วัน</v>
      </c>
      <c r="M451" s="365">
        <f>IF(I451&lt;=69,600,IF(I451&lt;=79,700,IF(I451&lt;=89,800,IF(I451&gt;=90,1000))))</f>
        <v>600</v>
      </c>
      <c r="N451" s="365"/>
      <c r="O451" s="429" t="s">
        <v>1500</v>
      </c>
      <c r="R451" s="172"/>
      <c r="S451" s="96"/>
      <c r="T451" s="119"/>
      <c r="U451" s="119"/>
      <c r="V451" s="119"/>
      <c r="W451" s="42"/>
    </row>
    <row r="452" spans="1:23" ht="21">
      <c r="A452" s="446">
        <v>443</v>
      </c>
      <c r="B452" s="358" t="s">
        <v>32</v>
      </c>
      <c r="C452" s="382" t="s">
        <v>206</v>
      </c>
      <c r="D452" s="383" t="s">
        <v>858</v>
      </c>
      <c r="E452" s="361" t="s">
        <v>96</v>
      </c>
      <c r="F452" s="362" t="s">
        <v>1349</v>
      </c>
      <c r="G452" s="363">
        <v>3730600589267</v>
      </c>
      <c r="H452" s="364">
        <v>218815</v>
      </c>
      <c r="I452" s="307">
        <f>DATEDIF(H452,$S$20,"Y")</f>
        <v>60</v>
      </c>
      <c r="J452" s="306">
        <f>DATEDIF(H452,$S$20,"YM")</f>
        <v>7</v>
      </c>
      <c r="K452" s="306">
        <f>DATEDIF(H452,$S$20,"MD")</f>
        <v>28</v>
      </c>
      <c r="L452" s="306" t="str">
        <f>I452&amp;" ปี  "&amp;J452&amp;" เดือน  "&amp;K452&amp;" วัน"</f>
        <v>60 ปี  7 เดือน  28 วัน</v>
      </c>
      <c r="M452" s="365">
        <f>IF(I452&lt;=69,600,IF(I452&lt;=79,700,IF(I452&lt;=89,800,IF(I452&gt;=90,1000))))</f>
        <v>600</v>
      </c>
      <c r="N452" s="365"/>
      <c r="O452" s="429" t="s">
        <v>1500</v>
      </c>
      <c r="R452" s="172"/>
      <c r="S452" s="96"/>
      <c r="T452" s="119"/>
      <c r="U452" s="119"/>
      <c r="V452" s="119"/>
      <c r="W452" s="42"/>
    </row>
    <row r="453" spans="1:23" ht="21">
      <c r="A453" s="446">
        <v>444</v>
      </c>
      <c r="B453" s="358" t="s">
        <v>31</v>
      </c>
      <c r="C453" s="382" t="s">
        <v>1516</v>
      </c>
      <c r="D453" s="383" t="s">
        <v>858</v>
      </c>
      <c r="E453" s="361" t="s">
        <v>63</v>
      </c>
      <c r="F453" s="362" t="s">
        <v>1349</v>
      </c>
      <c r="G453" s="363">
        <v>3730600589330</v>
      </c>
      <c r="H453" s="364">
        <v>218790</v>
      </c>
      <c r="I453" s="307">
        <f>DATEDIF(H453,$S$20,"Y")</f>
        <v>60</v>
      </c>
      <c r="J453" s="306">
        <f>DATEDIF(H453,$S$20,"YM")</f>
        <v>8</v>
      </c>
      <c r="K453" s="306">
        <f>DATEDIF(H453,$S$20,"MD")</f>
        <v>22</v>
      </c>
      <c r="L453" s="306" t="str">
        <f>I453&amp;" ปี  "&amp;J453&amp;" เดือน  "&amp;K453&amp;" วัน"</f>
        <v>60 ปี  8 เดือน  22 วัน</v>
      </c>
      <c r="M453" s="365">
        <f>IF(I453&lt;=69,600,IF(I453&lt;=79,700,IF(I453&lt;=89,800,IF(I453&gt;=90,1000))))</f>
        <v>600</v>
      </c>
      <c r="N453" s="365"/>
      <c r="O453" s="429" t="s">
        <v>1500</v>
      </c>
      <c r="R453" s="172"/>
      <c r="S453" s="96"/>
      <c r="T453" s="119"/>
      <c r="U453" s="119"/>
      <c r="V453" s="119"/>
      <c r="W453" s="42"/>
    </row>
    <row r="454" spans="1:23" ht="21">
      <c r="A454" s="446">
        <v>445</v>
      </c>
      <c r="B454" s="358" t="s">
        <v>30</v>
      </c>
      <c r="C454" s="382" t="s">
        <v>1375</v>
      </c>
      <c r="D454" s="383" t="s">
        <v>1195</v>
      </c>
      <c r="E454" s="361" t="s">
        <v>1376</v>
      </c>
      <c r="F454" s="362" t="s">
        <v>1349</v>
      </c>
      <c r="G454" s="363">
        <v>3730600584354</v>
      </c>
      <c r="H454" s="364">
        <v>219030</v>
      </c>
      <c r="I454" s="307">
        <f>DATEDIF(H454,$S$20,"Y")</f>
        <v>60</v>
      </c>
      <c r="J454" s="306">
        <f>DATEDIF(H454,$S$20,"YM")</f>
        <v>0</v>
      </c>
      <c r="K454" s="306">
        <f>DATEDIF(H454,$S$20,"MD")</f>
        <v>25</v>
      </c>
      <c r="L454" s="306" t="str">
        <f>I454&amp;" ปี  "&amp;J454&amp;" เดือน  "&amp;K454&amp;" วัน"</f>
        <v>60 ปี  0 เดือน  25 วัน</v>
      </c>
      <c r="M454" s="365">
        <f>IF(I454&lt;=69,600,IF(I454&lt;=79,700,IF(I454&lt;=89,800,IF(I454&gt;=90,1000))))</f>
        <v>600</v>
      </c>
      <c r="N454" s="365"/>
      <c r="O454" s="429" t="s">
        <v>1500</v>
      </c>
      <c r="R454" s="172"/>
      <c r="S454" s="96"/>
      <c r="T454" s="119"/>
      <c r="U454" s="119"/>
      <c r="V454" s="119"/>
      <c r="W454" s="42"/>
    </row>
    <row r="455" spans="1:23" ht="21">
      <c r="A455" s="446">
        <v>446</v>
      </c>
      <c r="B455" s="358" t="s">
        <v>31</v>
      </c>
      <c r="C455" s="382" t="s">
        <v>90</v>
      </c>
      <c r="D455" s="383" t="s">
        <v>1517</v>
      </c>
      <c r="E455" s="361" t="s">
        <v>910</v>
      </c>
      <c r="F455" s="362" t="s">
        <v>1349</v>
      </c>
      <c r="G455" s="363">
        <v>3730600589399</v>
      </c>
      <c r="H455" s="364">
        <v>217323</v>
      </c>
      <c r="I455" s="307">
        <f>DATEDIF(H455,$S$20,"Y")</f>
        <v>64</v>
      </c>
      <c r="J455" s="306">
        <f>DATEDIF(H455,$S$20,"YM")</f>
        <v>8</v>
      </c>
      <c r="K455" s="306">
        <f>DATEDIF(H455,$S$20,"MD")</f>
        <v>28</v>
      </c>
      <c r="L455" s="306" t="str">
        <f>I455&amp;" ปี  "&amp;J455&amp;" เดือน  "&amp;K455&amp;" วัน"</f>
        <v>64 ปี  8 เดือน  28 วัน</v>
      </c>
      <c r="M455" s="365">
        <f>IF(I455&lt;=69,600,IF(I455&lt;=79,700,IF(I455&lt;=89,800,IF(I455&gt;=90,1000))))</f>
        <v>600</v>
      </c>
      <c r="N455" s="365"/>
      <c r="O455" s="429" t="s">
        <v>1500</v>
      </c>
      <c r="R455" s="172"/>
      <c r="S455" s="96"/>
      <c r="T455" s="119"/>
      <c r="U455" s="119"/>
      <c r="V455" s="119"/>
      <c r="W455" s="42"/>
    </row>
    <row r="456" spans="1:23" ht="21">
      <c r="A456" s="448"/>
      <c r="B456" s="430"/>
      <c r="C456" s="430"/>
      <c r="D456" s="430"/>
      <c r="E456" s="431"/>
      <c r="F456" s="432"/>
      <c r="G456" s="433" t="str">
        <f>"รวมผู้สูงอายุจำนวน  "&amp;A455&amp;"  ราย   เป็นเงินทั้งสิ้น   "</f>
        <v>รวมผู้สูงอายุจำนวน  446  ราย   เป็นเงินทั้งสิ้น   </v>
      </c>
      <c r="H456" s="434"/>
      <c r="I456" s="435"/>
      <c r="J456" s="436"/>
      <c r="K456" s="436"/>
      <c r="L456" s="436"/>
      <c r="M456" s="437">
        <f>SUM(M6:M455)</f>
        <v>267600</v>
      </c>
      <c r="N456" s="437"/>
      <c r="O456" s="438"/>
      <c r="R456" s="172"/>
      <c r="S456" s="96"/>
      <c r="T456" s="119"/>
      <c r="U456" s="119"/>
      <c r="V456" s="119"/>
      <c r="W456" s="42"/>
    </row>
    <row r="457" spans="1:23" ht="21">
      <c r="A457" s="307"/>
      <c r="B457" s="430"/>
      <c r="C457" s="430"/>
      <c r="D457" s="430"/>
      <c r="E457" s="431"/>
      <c r="F457" s="432"/>
      <c r="G457" s="439"/>
      <c r="H457" s="434"/>
      <c r="I457" s="435"/>
      <c r="J457" s="436"/>
      <c r="K457" s="436"/>
      <c r="L457" s="436"/>
      <c r="M457" s="440" t="str">
        <f>"("&amp;_xlfn.BAHTTEXT(M456)&amp;")"</f>
        <v>(สองแสนหกหมื่นเจ็ดพันหกร้อยบาทถ้วน)</v>
      </c>
      <c r="N457" s="441"/>
      <c r="O457" s="442"/>
      <c r="Q457" s="42"/>
      <c r="R457" s="42"/>
      <c r="S457" s="42"/>
      <c r="T457" s="42"/>
      <c r="U457" s="42"/>
      <c r="V457" s="42"/>
      <c r="W457" s="42"/>
    </row>
    <row r="458" spans="1:23" ht="21">
      <c r="A458" s="449"/>
      <c r="B458" s="178"/>
      <c r="C458" s="178"/>
      <c r="D458" s="178"/>
      <c r="E458" s="179"/>
      <c r="F458" s="180"/>
      <c r="G458" s="181"/>
      <c r="H458" s="182"/>
      <c r="I458" s="183"/>
      <c r="J458" s="184"/>
      <c r="K458" s="184"/>
      <c r="L458" s="184"/>
      <c r="M458" s="185"/>
      <c r="N458" s="344"/>
      <c r="O458" s="76"/>
      <c r="Q458" s="42"/>
      <c r="R458" s="42"/>
      <c r="S458" s="42"/>
      <c r="T458" s="42"/>
      <c r="U458" s="42"/>
      <c r="V458" s="42"/>
      <c r="W458" s="42"/>
    </row>
    <row r="459" spans="1:23" ht="26.25">
      <c r="A459" s="450"/>
      <c r="B459" s="57"/>
      <c r="C459" s="57"/>
      <c r="D459" s="57"/>
      <c r="E459" s="76"/>
      <c r="F459" s="159"/>
      <c r="G459" s="77"/>
      <c r="H459" s="58"/>
      <c r="I459" s="56"/>
      <c r="J459" s="96"/>
      <c r="K459" s="96"/>
      <c r="L459" s="96"/>
      <c r="M459" s="78"/>
      <c r="N459" s="79"/>
      <c r="O459" s="76"/>
      <c r="Q459" s="42"/>
      <c r="R459" s="42"/>
      <c r="S459" s="42"/>
      <c r="T459" s="42"/>
      <c r="U459" s="42"/>
      <c r="V459" s="42"/>
      <c r="W459" s="42"/>
    </row>
    <row r="460" spans="1:23" ht="24">
      <c r="A460" s="450"/>
      <c r="B460" s="57"/>
      <c r="C460" s="57"/>
      <c r="D460" s="57"/>
      <c r="E460" s="76"/>
      <c r="F460" s="159"/>
      <c r="G460" s="77"/>
      <c r="H460" s="56"/>
      <c r="I460" s="285" t="s">
        <v>1379</v>
      </c>
      <c r="J460" s="286"/>
      <c r="K460" s="287"/>
      <c r="L460" s="287"/>
      <c r="M460" s="131"/>
      <c r="N460" s="128"/>
      <c r="O460" s="76"/>
      <c r="Q460" s="42"/>
      <c r="R460" s="42"/>
      <c r="S460" s="42"/>
      <c r="T460" s="42"/>
      <c r="U460" s="42"/>
      <c r="V460" s="42"/>
      <c r="W460" s="42"/>
    </row>
    <row r="461" spans="1:23" ht="24">
      <c r="A461" s="450"/>
      <c r="B461" s="57"/>
      <c r="C461" s="57"/>
      <c r="D461" s="57"/>
      <c r="E461" s="76"/>
      <c r="F461" s="159"/>
      <c r="G461" s="77"/>
      <c r="H461" s="233"/>
      <c r="I461" s="285" t="s">
        <v>1380</v>
      </c>
      <c r="J461" s="286"/>
      <c r="K461" s="287"/>
      <c r="L461" s="287"/>
      <c r="M461" s="191"/>
      <c r="N461" s="305"/>
      <c r="O461" s="76"/>
      <c r="Q461" s="42"/>
      <c r="R461" s="42"/>
      <c r="S461" s="42"/>
      <c r="T461" s="42"/>
      <c r="U461" s="42"/>
      <c r="V461" s="42"/>
      <c r="W461" s="42"/>
    </row>
    <row r="462" spans="1:23" ht="24">
      <c r="A462" s="450"/>
      <c r="B462" s="57"/>
      <c r="C462" s="57"/>
      <c r="D462" s="57"/>
      <c r="E462" s="76"/>
      <c r="F462" s="159"/>
      <c r="G462" s="77"/>
      <c r="H462" s="343" t="s">
        <v>1391</v>
      </c>
      <c r="I462" s="343"/>
      <c r="J462" s="343"/>
      <c r="K462" s="343"/>
      <c r="L462" s="343"/>
      <c r="M462" s="343"/>
      <c r="N462" s="343"/>
      <c r="O462" s="76"/>
      <c r="Q462" s="42"/>
      <c r="R462" s="42"/>
      <c r="S462" s="42"/>
      <c r="T462" s="42"/>
      <c r="U462" s="42"/>
      <c r="V462" s="42"/>
      <c r="W462" s="42"/>
    </row>
    <row r="463" spans="1:23" ht="23.25">
      <c r="A463" s="450"/>
      <c r="B463" s="57"/>
      <c r="C463" s="57"/>
      <c r="D463" s="57"/>
      <c r="E463" s="57"/>
      <c r="F463" s="57"/>
      <c r="G463" s="57"/>
      <c r="H463" s="320"/>
      <c r="I463" s="281"/>
      <c r="J463" s="282"/>
      <c r="K463" s="283"/>
      <c r="L463" s="284"/>
      <c r="M463" s="184"/>
      <c r="N463" s="179"/>
      <c r="O463" s="57"/>
      <c r="Q463" s="42"/>
      <c r="R463" s="42"/>
      <c r="S463" s="42"/>
      <c r="T463" s="42"/>
      <c r="U463" s="42"/>
      <c r="V463" s="42"/>
      <c r="W463" s="42"/>
    </row>
    <row r="464" spans="1:23" ht="26.25">
      <c r="A464" s="450"/>
      <c r="B464" s="57"/>
      <c r="C464" s="57"/>
      <c r="D464" s="57"/>
      <c r="E464" s="76"/>
      <c r="F464" s="159"/>
      <c r="G464" s="77"/>
      <c r="H464" s="58"/>
      <c r="I464" s="56"/>
      <c r="J464" s="96"/>
      <c r="K464" s="96"/>
      <c r="L464" s="96"/>
      <c r="M464" s="78"/>
      <c r="N464" s="79"/>
      <c r="O464" s="76"/>
      <c r="Q464" s="42"/>
      <c r="R464" s="42"/>
      <c r="S464" s="42"/>
      <c r="T464" s="42"/>
      <c r="U464" s="42"/>
      <c r="V464" s="42"/>
      <c r="W464" s="42"/>
    </row>
    <row r="465" spans="1:23" ht="26.25">
      <c r="A465" s="450"/>
      <c r="B465" s="57"/>
      <c r="C465" s="57"/>
      <c r="D465" s="57"/>
      <c r="E465" s="76"/>
      <c r="F465" s="159"/>
      <c r="G465" s="77"/>
      <c r="H465" s="58"/>
      <c r="Q465" s="42"/>
      <c r="R465" s="42"/>
      <c r="S465" s="42"/>
      <c r="T465" s="42"/>
      <c r="U465" s="42"/>
      <c r="V465" s="42"/>
      <c r="W465" s="42"/>
    </row>
    <row r="466" spans="1:23" ht="26.25">
      <c r="A466" s="450"/>
      <c r="B466" s="57"/>
      <c r="C466" s="57"/>
      <c r="D466" s="57"/>
      <c r="E466" s="57"/>
      <c r="F466" s="57"/>
      <c r="G466" s="77" t="s">
        <v>1198</v>
      </c>
      <c r="H466" s="58"/>
      <c r="Q466" s="42"/>
      <c r="R466" s="42"/>
      <c r="S466" s="42"/>
      <c r="T466" s="42"/>
      <c r="U466" s="42"/>
      <c r="V466" s="42"/>
      <c r="W466" s="42"/>
    </row>
    <row r="467" spans="1:23" ht="26.25">
      <c r="A467" s="450"/>
      <c r="B467" s="57"/>
      <c r="C467" s="57"/>
      <c r="D467" s="57"/>
      <c r="E467" s="76"/>
      <c r="F467" s="159"/>
      <c r="G467" s="77"/>
      <c r="H467" s="57"/>
      <c r="Q467" s="42"/>
      <c r="R467" s="42"/>
      <c r="S467" s="42"/>
      <c r="T467" s="42"/>
      <c r="U467" s="42"/>
      <c r="V467" s="42"/>
      <c r="W467" s="42"/>
    </row>
    <row r="468" spans="1:23" ht="26.25">
      <c r="A468" s="450"/>
      <c r="B468" s="57"/>
      <c r="C468" s="57"/>
      <c r="D468" s="57"/>
      <c r="E468" s="76"/>
      <c r="F468" s="159"/>
      <c r="G468" s="77"/>
      <c r="H468" s="58"/>
      <c r="P468" s="42">
        <v>76</v>
      </c>
      <c r="Q468" s="42"/>
      <c r="R468" s="42"/>
      <c r="S468" s="42"/>
      <c r="T468" s="42"/>
      <c r="U468" s="42"/>
      <c r="V468" s="42"/>
      <c r="W468" s="42"/>
    </row>
    <row r="469" spans="1:23" ht="26.25">
      <c r="A469" s="450"/>
      <c r="P469" s="42">
        <v>77</v>
      </c>
      <c r="Q469" s="42"/>
      <c r="R469" s="42"/>
      <c r="S469" s="42"/>
      <c r="T469" s="42"/>
      <c r="U469" s="42"/>
      <c r="V469" s="42"/>
      <c r="W469" s="42"/>
    </row>
    <row r="470" spans="1:23" ht="26.25">
      <c r="A470" s="450"/>
      <c r="P470" s="42">
        <v>78</v>
      </c>
      <c r="Q470" s="42"/>
      <c r="R470" s="42"/>
      <c r="S470" s="42"/>
      <c r="T470" s="42"/>
      <c r="U470" s="42"/>
      <c r="V470" s="42"/>
      <c r="W470" s="42"/>
    </row>
    <row r="471" spans="1:23" ht="26.25">
      <c r="A471" s="450"/>
      <c r="P471" s="42">
        <v>79</v>
      </c>
      <c r="Q471" s="42"/>
      <c r="R471" s="42"/>
      <c r="S471" s="42"/>
      <c r="T471" s="42"/>
      <c r="U471" s="42"/>
      <c r="V471" s="42"/>
      <c r="W471" s="42"/>
    </row>
    <row r="472" spans="1:23" ht="26.25">
      <c r="A472" s="450"/>
      <c r="P472" s="42">
        <v>80</v>
      </c>
      <c r="Q472" s="42"/>
      <c r="R472" s="42"/>
      <c r="S472" s="42"/>
      <c r="T472" s="42"/>
      <c r="U472" s="42"/>
      <c r="V472" s="42"/>
      <c r="W472" s="42"/>
    </row>
    <row r="473" spans="1:23" ht="26.25">
      <c r="A473" s="450"/>
      <c r="P473" s="42">
        <v>81</v>
      </c>
      <c r="Q473" s="42"/>
      <c r="R473" s="42"/>
      <c r="S473" s="42"/>
      <c r="T473" s="42"/>
      <c r="U473" s="42"/>
      <c r="V473" s="42"/>
      <c r="W473" s="42"/>
    </row>
    <row r="474" spans="1:23" ht="26.25">
      <c r="A474" s="450"/>
      <c r="P474" s="42">
        <v>82</v>
      </c>
      <c r="Q474" s="42"/>
      <c r="R474" s="42"/>
      <c r="S474" s="42"/>
      <c r="T474" s="42"/>
      <c r="U474" s="42"/>
      <c r="V474" s="42"/>
      <c r="W474" s="42"/>
    </row>
    <row r="475" spans="1:23" ht="26.25">
      <c r="A475" s="450"/>
      <c r="P475" s="42">
        <v>83</v>
      </c>
      <c r="Q475" s="42"/>
      <c r="R475" s="42"/>
      <c r="S475" s="42"/>
      <c r="T475" s="42"/>
      <c r="U475" s="42"/>
      <c r="V475" s="42"/>
      <c r="W475" s="42"/>
    </row>
    <row r="476" spans="1:23" ht="26.25">
      <c r="A476" s="450"/>
      <c r="P476" s="42">
        <v>84</v>
      </c>
      <c r="Q476" s="42"/>
      <c r="R476" s="42"/>
      <c r="S476" s="42"/>
      <c r="T476" s="42"/>
      <c r="U476" s="42"/>
      <c r="V476" s="42"/>
      <c r="W476" s="42"/>
    </row>
    <row r="477" spans="1:23" ht="26.25">
      <c r="A477" s="450"/>
      <c r="P477" s="42">
        <v>85</v>
      </c>
      <c r="Q477" s="42"/>
      <c r="R477" s="42"/>
      <c r="S477" s="42"/>
      <c r="T477" s="42"/>
      <c r="U477" s="42"/>
      <c r="V477" s="42"/>
      <c r="W477" s="42"/>
    </row>
    <row r="478" spans="1:23" ht="26.25">
      <c r="A478" s="451"/>
      <c r="Q478" s="42"/>
      <c r="R478" s="42"/>
      <c r="S478" s="42"/>
      <c r="T478" s="42"/>
      <c r="U478" s="42"/>
      <c r="V478" s="42"/>
      <c r="W478" s="42"/>
    </row>
    <row r="479" spans="1:23" ht="26.25">
      <c r="A479" s="452"/>
      <c r="Q479" s="42"/>
      <c r="R479" s="42"/>
      <c r="S479" s="42"/>
      <c r="T479" s="42"/>
      <c r="U479" s="42"/>
      <c r="V479" s="42"/>
      <c r="W479" s="42"/>
    </row>
    <row r="480" spans="1:23" ht="26.25">
      <c r="A480" s="450"/>
      <c r="Q480" s="42"/>
      <c r="R480" s="42"/>
      <c r="S480" s="42"/>
      <c r="T480" s="42"/>
      <c r="U480" s="42"/>
      <c r="V480" s="42"/>
      <c r="W480" s="42"/>
    </row>
    <row r="481" ht="26.25">
      <c r="A481" s="450"/>
    </row>
    <row r="482" ht="26.25">
      <c r="A482" s="407"/>
    </row>
    <row r="483" spans="1:23" ht="26.25">
      <c r="A483" s="450"/>
      <c r="Q483" s="42"/>
      <c r="R483" s="42"/>
      <c r="S483" s="42"/>
      <c r="T483" s="42"/>
      <c r="U483" s="42"/>
      <c r="V483" s="42"/>
      <c r="W483" s="42"/>
    </row>
    <row r="484" ht="23.25" customHeight="1">
      <c r="A484" s="450"/>
    </row>
    <row r="485" spans="1:15" ht="26.25">
      <c r="A485" s="450"/>
      <c r="B485" s="57"/>
      <c r="C485" s="57"/>
      <c r="D485" s="57"/>
      <c r="E485" s="76"/>
      <c r="F485" s="159"/>
      <c r="G485" s="77"/>
      <c r="H485" s="58"/>
      <c r="I485" s="56"/>
      <c r="J485" s="96"/>
      <c r="K485" s="96"/>
      <c r="L485" s="96"/>
      <c r="M485" s="78"/>
      <c r="N485" s="79"/>
      <c r="O485" s="76"/>
    </row>
  </sheetData>
  <sheetProtection/>
  <mergeCells count="11">
    <mergeCell ref="Q134:U134"/>
    <mergeCell ref="Q189:S189"/>
    <mergeCell ref="Q113:S113"/>
    <mergeCell ref="Q4:W4"/>
    <mergeCell ref="B5:D5"/>
    <mergeCell ref="E5:F5"/>
    <mergeCell ref="A1:O1"/>
    <mergeCell ref="Q1:W1"/>
    <mergeCell ref="A2:O2"/>
    <mergeCell ref="Q2:W2"/>
    <mergeCell ref="A3:O3"/>
  </mergeCells>
  <printOptions horizontalCentered="1"/>
  <pageMargins left="0.7" right="0.7" top="0.75" bottom="0.75" header="0.3" footer="0.3"/>
  <pageSetup horizontalDpi="600" verticalDpi="600" orientation="portrait" paperSize="9" scale="72" r:id="rId1"/>
  <headerFooter alignWithMargins="0">
    <oddFooter>&amp;L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E234"/>
  <sheetViews>
    <sheetView view="pageBreakPreview" zoomScaleNormal="85" zoomScaleSheetLayoutView="100" workbookViewId="0" topLeftCell="A10">
      <selection activeCell="A7" sqref="A7"/>
    </sheetView>
  </sheetViews>
  <sheetFormatPr defaultColWidth="9.140625" defaultRowHeight="12.75"/>
  <cols>
    <col min="1" max="1" width="3.7109375" style="88" bestFit="1" customWidth="1"/>
    <col min="2" max="2" width="4.57421875" style="42" customWidth="1"/>
    <col min="3" max="3" width="12.57421875" style="42" customWidth="1"/>
    <col min="4" max="4" width="12.7109375" style="42" customWidth="1"/>
    <col min="5" max="5" width="5.00390625" style="47" bestFit="1" customWidth="1"/>
    <col min="6" max="6" width="4.7109375" style="48" customWidth="1"/>
    <col min="7" max="7" width="21.8515625" style="49" customWidth="1"/>
    <col min="8" max="8" width="10.8515625" style="50" bestFit="1" customWidth="1"/>
    <col min="9" max="9" width="3.7109375" style="51" bestFit="1" customWidth="1"/>
    <col min="10" max="10" width="6.421875" style="98" customWidth="1"/>
    <col min="11" max="11" width="4.7109375" style="98" bestFit="1" customWidth="1"/>
    <col min="12" max="12" width="17.00390625" style="98" bestFit="1" customWidth="1"/>
    <col min="13" max="13" width="12.8515625" style="52" customWidth="1"/>
    <col min="14" max="14" width="7.421875" style="89" hidden="1" customWidth="1"/>
    <col min="15" max="15" width="21.421875" style="304" bestFit="1" customWidth="1"/>
    <col min="16" max="16" width="2.7109375" style="42" customWidth="1"/>
    <col min="17" max="17" width="24.00390625" style="101" customWidth="1"/>
    <col min="18" max="18" width="10.57421875" style="98" customWidth="1"/>
    <col min="19" max="22" width="10.57421875" style="101" customWidth="1"/>
    <col min="23" max="23" width="13.140625" style="101" bestFit="1" customWidth="1"/>
    <col min="24" max="24" width="2.7109375" style="42" customWidth="1"/>
    <col min="25" max="16384" width="9.140625" style="42" customWidth="1"/>
  </cols>
  <sheetData>
    <row r="1" spans="1:26" s="1" customFormat="1" ht="23.25">
      <c r="A1" s="486" t="s">
        <v>1518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Q1" s="487" t="s">
        <v>1551</v>
      </c>
      <c r="R1" s="487"/>
      <c r="S1" s="487"/>
      <c r="T1" s="487"/>
      <c r="U1" s="487"/>
      <c r="V1" s="487"/>
      <c r="W1" s="487"/>
      <c r="X1" s="487"/>
      <c r="Y1" s="487"/>
      <c r="Z1" s="487"/>
    </row>
    <row r="2" spans="1:23" s="1" customFormat="1" ht="23.25">
      <c r="A2" s="486" t="s">
        <v>1196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Q2" s="487" t="s">
        <v>1549</v>
      </c>
      <c r="R2" s="487"/>
      <c r="S2" s="487"/>
      <c r="T2" s="487"/>
      <c r="U2" s="487"/>
      <c r="V2" s="487"/>
      <c r="W2" s="487"/>
    </row>
    <row r="3" spans="1:23" s="1" customFormat="1" ht="23.25">
      <c r="A3" s="488">
        <v>241122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Q3" s="487">
        <f>A3</f>
        <v>241122</v>
      </c>
      <c r="R3" s="487"/>
      <c r="S3" s="487"/>
      <c r="T3" s="487"/>
      <c r="U3" s="487"/>
      <c r="V3" s="487"/>
      <c r="W3" s="487"/>
    </row>
    <row r="4" spans="1:23" s="4" customFormat="1" ht="13.5" customHeight="1">
      <c r="A4" s="2"/>
      <c r="B4" s="3"/>
      <c r="F4" s="5"/>
      <c r="J4" s="91"/>
      <c r="K4" s="91"/>
      <c r="L4" s="91"/>
      <c r="M4" s="6"/>
      <c r="N4" s="6"/>
      <c r="O4" s="290"/>
      <c r="Q4" s="483" t="s">
        <v>17</v>
      </c>
      <c r="R4" s="483"/>
      <c r="S4" s="483"/>
      <c r="T4" s="483"/>
      <c r="U4" s="483"/>
      <c r="V4" s="483"/>
      <c r="W4" s="483"/>
    </row>
    <row r="5" spans="1:24" s="1" customFormat="1" ht="49.5">
      <c r="A5" s="7" t="s">
        <v>10</v>
      </c>
      <c r="B5" s="491" t="s">
        <v>11</v>
      </c>
      <c r="C5" s="492"/>
      <c r="D5" s="493"/>
      <c r="E5" s="491" t="s">
        <v>12</v>
      </c>
      <c r="F5" s="493"/>
      <c r="G5" s="8" t="s">
        <v>19</v>
      </c>
      <c r="H5" s="9" t="s">
        <v>24</v>
      </c>
      <c r="I5" s="8" t="s">
        <v>14</v>
      </c>
      <c r="J5" s="92" t="s">
        <v>13</v>
      </c>
      <c r="K5" s="92" t="s">
        <v>26</v>
      </c>
      <c r="L5" s="92" t="s">
        <v>27</v>
      </c>
      <c r="M5" s="10" t="s">
        <v>18</v>
      </c>
      <c r="N5" s="11"/>
      <c r="O5" s="291" t="s">
        <v>20</v>
      </c>
      <c r="P5" s="13"/>
      <c r="Q5" s="14" t="s">
        <v>21</v>
      </c>
      <c r="R5" s="15" t="s">
        <v>5</v>
      </c>
      <c r="S5" s="16" t="s">
        <v>3</v>
      </c>
      <c r="T5" s="15" t="s">
        <v>4</v>
      </c>
      <c r="U5" s="15" t="s">
        <v>6</v>
      </c>
      <c r="V5" s="17" t="s">
        <v>15</v>
      </c>
      <c r="W5" s="18" t="s">
        <v>16</v>
      </c>
      <c r="X5" s="19"/>
    </row>
    <row r="6" spans="1:24" s="1" customFormat="1" ht="26.25">
      <c r="A6" s="335">
        <v>1</v>
      </c>
      <c r="B6" s="202" t="s">
        <v>32</v>
      </c>
      <c r="C6" s="209" t="s">
        <v>39</v>
      </c>
      <c r="D6" s="210" t="s">
        <v>285</v>
      </c>
      <c r="E6" s="205" t="s">
        <v>286</v>
      </c>
      <c r="F6" s="206">
        <v>1</v>
      </c>
      <c r="G6" s="207">
        <v>3730600577439</v>
      </c>
      <c r="H6" s="208">
        <v>215131</v>
      </c>
      <c r="I6" s="28">
        <f aca="true" t="shared" si="0" ref="I6:I13">DATEDIF(H6,$S$21,"Y")</f>
        <v>70</v>
      </c>
      <c r="J6" s="93">
        <f aca="true" t="shared" si="1" ref="J6:J13">DATEDIF(H6,$S$21,"YM")</f>
        <v>8</v>
      </c>
      <c r="K6" s="93">
        <f aca="true" t="shared" si="2" ref="K6:K13">DATEDIF(H6,$S$21,"MD")</f>
        <v>29</v>
      </c>
      <c r="L6" s="93" t="str">
        <f aca="true" t="shared" si="3" ref="L6:L13">I6&amp;" ปี  "&amp;J6&amp;" เดือน  "&amp;K6&amp;" วัน"</f>
        <v>70 ปี  8 เดือน  29 วัน</v>
      </c>
      <c r="M6" s="38">
        <f aca="true" t="shared" si="4" ref="M6:M13">IF(I6&lt;=69,600,IF(I6&lt;=79,700,IF(I6&lt;=89,800,IF(I6&gt;=90,1000))))</f>
        <v>700</v>
      </c>
      <c r="N6" s="11"/>
      <c r="O6" s="291"/>
      <c r="P6" s="13"/>
      <c r="Q6" s="330"/>
      <c r="R6" s="331"/>
      <c r="S6" s="332"/>
      <c r="T6" s="331"/>
      <c r="U6" s="331"/>
      <c r="V6" s="333"/>
      <c r="W6" s="334"/>
      <c r="X6" s="19"/>
    </row>
    <row r="7" spans="1:24" s="1" customFormat="1" ht="26.25">
      <c r="A7" s="20">
        <f aca="true" t="shared" si="5" ref="A7:A70">A6+1</f>
        <v>2</v>
      </c>
      <c r="B7" s="202" t="s">
        <v>31</v>
      </c>
      <c r="C7" s="209" t="s">
        <v>289</v>
      </c>
      <c r="D7" s="210" t="s">
        <v>290</v>
      </c>
      <c r="E7" s="205" t="s">
        <v>291</v>
      </c>
      <c r="F7" s="206">
        <v>1</v>
      </c>
      <c r="G7" s="207">
        <v>3730600376778</v>
      </c>
      <c r="H7" s="208">
        <v>215046</v>
      </c>
      <c r="I7" s="28">
        <f t="shared" si="0"/>
        <v>70</v>
      </c>
      <c r="J7" s="93">
        <f t="shared" si="1"/>
        <v>11</v>
      </c>
      <c r="K7" s="93">
        <f t="shared" si="2"/>
        <v>22</v>
      </c>
      <c r="L7" s="93" t="str">
        <f t="shared" si="3"/>
        <v>70 ปี  11 เดือน  22 วัน</v>
      </c>
      <c r="M7" s="38">
        <f t="shared" si="4"/>
        <v>700</v>
      </c>
      <c r="N7" s="11"/>
      <c r="O7" s="291"/>
      <c r="P7" s="13"/>
      <c r="Q7" s="336">
        <v>1</v>
      </c>
      <c r="R7" s="33">
        <f>V24</f>
        <v>0</v>
      </c>
      <c r="S7" s="34">
        <f>V25</f>
        <v>87</v>
      </c>
      <c r="T7" s="33">
        <f>V26</f>
        <v>0</v>
      </c>
      <c r="U7" s="33">
        <f>V27</f>
        <v>0</v>
      </c>
      <c r="V7" s="33">
        <f>V28</f>
        <v>87</v>
      </c>
      <c r="W7" s="37">
        <f aca="true" t="shared" si="6" ref="W7:W12">(R7*600)+(S7*700)+(T7*800)+(U7*1000)</f>
        <v>60900</v>
      </c>
      <c r="X7" s="19"/>
    </row>
    <row r="8" spans="1:24" s="1" customFormat="1" ht="26.25">
      <c r="A8" s="20">
        <f t="shared" si="5"/>
        <v>3</v>
      </c>
      <c r="B8" s="202" t="s">
        <v>31</v>
      </c>
      <c r="C8" s="209" t="s">
        <v>302</v>
      </c>
      <c r="D8" s="210" t="s">
        <v>303</v>
      </c>
      <c r="E8" s="205" t="s">
        <v>233</v>
      </c>
      <c r="F8" s="206">
        <v>1</v>
      </c>
      <c r="G8" s="207">
        <v>5730300020362</v>
      </c>
      <c r="H8" s="208">
        <v>215333</v>
      </c>
      <c r="I8" s="28">
        <f t="shared" si="0"/>
        <v>70</v>
      </c>
      <c r="J8" s="93">
        <f t="shared" si="1"/>
        <v>2</v>
      </c>
      <c r="K8" s="93">
        <f t="shared" si="2"/>
        <v>8</v>
      </c>
      <c r="L8" s="93" t="str">
        <f t="shared" si="3"/>
        <v>70 ปี  2 เดือน  8 วัน</v>
      </c>
      <c r="M8" s="38">
        <f t="shared" si="4"/>
        <v>700</v>
      </c>
      <c r="N8" s="11"/>
      <c r="O8" s="291"/>
      <c r="P8" s="13"/>
      <c r="Q8" s="36">
        <v>2</v>
      </c>
      <c r="R8" s="33">
        <f>V86</f>
        <v>0</v>
      </c>
      <c r="S8" s="34">
        <f>V39</f>
        <v>37</v>
      </c>
      <c r="T8" s="33">
        <v>0</v>
      </c>
      <c r="U8" s="34">
        <f>V89</f>
        <v>0</v>
      </c>
      <c r="V8" s="33">
        <f>V42</f>
        <v>37</v>
      </c>
      <c r="W8" s="37">
        <f t="shared" si="6"/>
        <v>25900</v>
      </c>
      <c r="X8" s="19"/>
    </row>
    <row r="9" spans="1:24" s="1" customFormat="1" ht="26.25">
      <c r="A9" s="20">
        <f t="shared" si="5"/>
        <v>4</v>
      </c>
      <c r="B9" s="202" t="s">
        <v>31</v>
      </c>
      <c r="C9" s="209" t="s">
        <v>304</v>
      </c>
      <c r="D9" s="210" t="s">
        <v>278</v>
      </c>
      <c r="E9" s="205" t="s">
        <v>306</v>
      </c>
      <c r="F9" s="206">
        <v>1</v>
      </c>
      <c r="G9" s="207">
        <v>3730600580481</v>
      </c>
      <c r="H9" s="208">
        <v>215344</v>
      </c>
      <c r="I9" s="28">
        <f t="shared" si="0"/>
        <v>70</v>
      </c>
      <c r="J9" s="93">
        <f t="shared" si="1"/>
        <v>1</v>
      </c>
      <c r="K9" s="93">
        <f t="shared" si="2"/>
        <v>28</v>
      </c>
      <c r="L9" s="93" t="str">
        <f t="shared" si="3"/>
        <v>70 ปี  1 เดือน  28 วัน</v>
      </c>
      <c r="M9" s="38">
        <f t="shared" si="4"/>
        <v>700</v>
      </c>
      <c r="N9" s="11"/>
      <c r="O9" s="291"/>
      <c r="P9" s="13"/>
      <c r="Q9" s="36">
        <v>3</v>
      </c>
      <c r="R9" s="33">
        <f>Z124</f>
        <v>0</v>
      </c>
      <c r="S9" s="33">
        <f>V51</f>
        <v>30</v>
      </c>
      <c r="T9" s="33">
        <f>V163</f>
        <v>0</v>
      </c>
      <c r="U9" s="33">
        <f>V164</f>
        <v>0</v>
      </c>
      <c r="V9" s="33">
        <f>V54</f>
        <v>30</v>
      </c>
      <c r="W9" s="37">
        <f t="shared" si="6"/>
        <v>21000</v>
      </c>
      <c r="X9" s="19"/>
    </row>
    <row r="10" spans="1:24" s="1" customFormat="1" ht="26.25">
      <c r="A10" s="20">
        <f t="shared" si="5"/>
        <v>5</v>
      </c>
      <c r="B10" s="202" t="s">
        <v>31</v>
      </c>
      <c r="C10" s="209" t="s">
        <v>34</v>
      </c>
      <c r="D10" s="210" t="s">
        <v>315</v>
      </c>
      <c r="E10" s="205" t="s">
        <v>316</v>
      </c>
      <c r="F10" s="206">
        <v>1</v>
      </c>
      <c r="G10" s="207">
        <v>3102001651639</v>
      </c>
      <c r="H10" s="208">
        <v>215403</v>
      </c>
      <c r="I10" s="28">
        <f t="shared" si="0"/>
        <v>70</v>
      </c>
      <c r="J10" s="93">
        <f t="shared" si="1"/>
        <v>0</v>
      </c>
      <c r="K10" s="93">
        <f t="shared" si="2"/>
        <v>0</v>
      </c>
      <c r="L10" s="93" t="str">
        <f t="shared" si="3"/>
        <v>70 ปี  0 เดือน  0 วัน</v>
      </c>
      <c r="M10" s="38">
        <f t="shared" si="4"/>
        <v>700</v>
      </c>
      <c r="N10" s="11"/>
      <c r="O10" s="291"/>
      <c r="P10" s="13"/>
      <c r="Q10" s="36">
        <v>4</v>
      </c>
      <c r="R10" s="33">
        <f>V161</f>
        <v>0</v>
      </c>
      <c r="S10" s="33">
        <f>V63</f>
        <v>17</v>
      </c>
      <c r="T10" s="33">
        <f>V163</f>
        <v>0</v>
      </c>
      <c r="U10" s="33">
        <f>V164</f>
        <v>0</v>
      </c>
      <c r="V10" s="33">
        <f>V66</f>
        <v>17</v>
      </c>
      <c r="W10" s="37">
        <f t="shared" si="6"/>
        <v>11900</v>
      </c>
      <c r="X10" s="19"/>
    </row>
    <row r="11" spans="1:24" s="1" customFormat="1" ht="26.25">
      <c r="A11" s="20">
        <f t="shared" si="5"/>
        <v>6</v>
      </c>
      <c r="B11" s="202" t="s">
        <v>30</v>
      </c>
      <c r="C11" s="209" t="s">
        <v>82</v>
      </c>
      <c r="D11" s="210" t="s">
        <v>341</v>
      </c>
      <c r="E11" s="205" t="s">
        <v>342</v>
      </c>
      <c r="F11" s="206">
        <v>1</v>
      </c>
      <c r="G11" s="207">
        <v>3102202012366</v>
      </c>
      <c r="H11" s="208">
        <v>215131</v>
      </c>
      <c r="I11" s="28">
        <f t="shared" si="0"/>
        <v>70</v>
      </c>
      <c r="J11" s="93">
        <f t="shared" si="1"/>
        <v>8</v>
      </c>
      <c r="K11" s="93">
        <f t="shared" si="2"/>
        <v>29</v>
      </c>
      <c r="L11" s="93" t="str">
        <f t="shared" si="3"/>
        <v>70 ปี  8 เดือน  29 วัน</v>
      </c>
      <c r="M11" s="38">
        <f t="shared" si="4"/>
        <v>700</v>
      </c>
      <c r="N11" s="11"/>
      <c r="O11" s="291"/>
      <c r="P11" s="13"/>
      <c r="Q11" s="36">
        <v>5</v>
      </c>
      <c r="R11" s="33">
        <v>0</v>
      </c>
      <c r="S11" s="33">
        <f>V78</f>
        <v>25</v>
      </c>
      <c r="T11" s="33">
        <v>0</v>
      </c>
      <c r="U11" s="33">
        <f>V189</f>
        <v>0</v>
      </c>
      <c r="V11" s="33">
        <f>V81</f>
        <v>25</v>
      </c>
      <c r="W11" s="37">
        <f t="shared" si="6"/>
        <v>17500</v>
      </c>
      <c r="X11" s="19"/>
    </row>
    <row r="12" spans="1:24" s="1" customFormat="1" ht="26.25">
      <c r="A12" s="20">
        <f t="shared" si="5"/>
        <v>7</v>
      </c>
      <c r="B12" s="202" t="s">
        <v>30</v>
      </c>
      <c r="C12" s="209" t="s">
        <v>206</v>
      </c>
      <c r="D12" s="210" t="s">
        <v>349</v>
      </c>
      <c r="E12" s="205" t="s">
        <v>350</v>
      </c>
      <c r="F12" s="206">
        <v>1</v>
      </c>
      <c r="G12" s="207">
        <v>3730600577820</v>
      </c>
      <c r="H12" s="208">
        <v>215149</v>
      </c>
      <c r="I12" s="28">
        <f t="shared" si="0"/>
        <v>70</v>
      </c>
      <c r="J12" s="93">
        <f t="shared" si="1"/>
        <v>8</v>
      </c>
      <c r="K12" s="93">
        <f t="shared" si="2"/>
        <v>11</v>
      </c>
      <c r="L12" s="93" t="str">
        <f t="shared" si="3"/>
        <v>70 ปี  8 เดือน  11 วัน</v>
      </c>
      <c r="M12" s="38">
        <f t="shared" si="4"/>
        <v>700</v>
      </c>
      <c r="N12" s="11"/>
      <c r="O12" s="291"/>
      <c r="P12" s="13"/>
      <c r="Q12" s="36">
        <v>6</v>
      </c>
      <c r="R12" s="33">
        <f>AA205</f>
        <v>0</v>
      </c>
      <c r="S12" s="33">
        <f>$V90</f>
        <v>10</v>
      </c>
      <c r="T12" s="33">
        <f>AA207</f>
        <v>0</v>
      </c>
      <c r="U12" s="33">
        <f>AA208</f>
        <v>0</v>
      </c>
      <c r="V12" s="33">
        <f>$V93</f>
        <v>10</v>
      </c>
      <c r="W12" s="37">
        <f t="shared" si="6"/>
        <v>7000</v>
      </c>
      <c r="X12" s="19"/>
    </row>
    <row r="13" spans="1:24" s="1" customFormat="1" ht="26.25">
      <c r="A13" s="20">
        <f t="shared" si="5"/>
        <v>8</v>
      </c>
      <c r="B13" s="202" t="s">
        <v>31</v>
      </c>
      <c r="C13" s="209" t="s">
        <v>40</v>
      </c>
      <c r="D13" s="210" t="s">
        <v>522</v>
      </c>
      <c r="E13" s="205" t="s">
        <v>523</v>
      </c>
      <c r="F13" s="213">
        <v>1</v>
      </c>
      <c r="G13" s="207">
        <v>3100202791886</v>
      </c>
      <c r="H13" s="208">
        <v>215207</v>
      </c>
      <c r="I13" s="28">
        <f t="shared" si="0"/>
        <v>70</v>
      </c>
      <c r="J13" s="93">
        <f t="shared" si="1"/>
        <v>6</v>
      </c>
      <c r="K13" s="93">
        <f t="shared" si="2"/>
        <v>12</v>
      </c>
      <c r="L13" s="93" t="str">
        <f t="shared" si="3"/>
        <v>70 ปี  6 เดือน  12 วัน</v>
      </c>
      <c r="M13" s="38">
        <f t="shared" si="4"/>
        <v>700</v>
      </c>
      <c r="N13" s="11"/>
      <c r="O13" s="291"/>
      <c r="P13" s="13"/>
      <c r="Q13" s="36"/>
      <c r="R13" s="33"/>
      <c r="S13" s="34"/>
      <c r="T13" s="33"/>
      <c r="U13" s="33"/>
      <c r="V13" s="33"/>
      <c r="W13" s="37"/>
      <c r="X13" s="19"/>
    </row>
    <row r="14" spans="1:23" s="1" customFormat="1" ht="23.25">
      <c r="A14" s="20">
        <f t="shared" si="5"/>
        <v>9</v>
      </c>
      <c r="B14" s="21" t="s">
        <v>30</v>
      </c>
      <c r="C14" s="121" t="s">
        <v>270</v>
      </c>
      <c r="D14" s="122" t="s">
        <v>271</v>
      </c>
      <c r="E14" s="24" t="s">
        <v>272</v>
      </c>
      <c r="F14" s="25">
        <v>1</v>
      </c>
      <c r="G14" s="26">
        <v>3730500756978</v>
      </c>
      <c r="H14" s="27">
        <v>214765</v>
      </c>
      <c r="I14" s="28">
        <f aca="true" t="shared" si="7" ref="I14:I77">DATEDIF(H14,$S$21,"Y")</f>
        <v>71</v>
      </c>
      <c r="J14" s="93">
        <f aca="true" t="shared" si="8" ref="J14:J77">DATEDIF(H14,$S$21,"YM")</f>
        <v>8</v>
      </c>
      <c r="K14" s="93">
        <f aca="true" t="shared" si="9" ref="K14:K77">DATEDIF(H14,$S$21,"MD")</f>
        <v>29</v>
      </c>
      <c r="L14" s="93" t="str">
        <f aca="true" t="shared" si="10" ref="L14:L74">I14&amp;" ปี  "&amp;J14&amp;" เดือน  "&amp;K14&amp;" วัน"</f>
        <v>71 ปี  8 เดือน  29 วัน</v>
      </c>
      <c r="M14" s="29">
        <f aca="true" t="shared" si="11" ref="M14:M66">IF(I14&lt;=69,600,IF(I14&lt;=79,700,IF(I14&lt;=89,800,IF(I14&gt;=90,1000))))</f>
        <v>700</v>
      </c>
      <c r="N14" s="199"/>
      <c r="O14" s="292"/>
      <c r="P14" s="31"/>
      <c r="Q14" s="36"/>
      <c r="R14" s="33"/>
      <c r="S14" s="34"/>
      <c r="T14" s="33"/>
      <c r="U14" s="33"/>
      <c r="V14" s="33"/>
      <c r="W14" s="37"/>
    </row>
    <row r="15" spans="1:23" s="1" customFormat="1" ht="23.25">
      <c r="A15" s="20">
        <f t="shared" si="5"/>
        <v>10</v>
      </c>
      <c r="B15" s="21" t="s">
        <v>30</v>
      </c>
      <c r="C15" s="121" t="s">
        <v>277</v>
      </c>
      <c r="D15" s="122" t="s">
        <v>278</v>
      </c>
      <c r="E15" s="24" t="s">
        <v>60</v>
      </c>
      <c r="F15" s="25">
        <v>1</v>
      </c>
      <c r="G15" s="26">
        <v>3730600575371</v>
      </c>
      <c r="H15" s="27">
        <v>214750</v>
      </c>
      <c r="I15" s="28">
        <f t="shared" si="7"/>
        <v>71</v>
      </c>
      <c r="J15" s="93">
        <f t="shared" si="8"/>
        <v>9</v>
      </c>
      <c r="K15" s="93">
        <f t="shared" si="9"/>
        <v>13</v>
      </c>
      <c r="L15" s="93" t="str">
        <f t="shared" si="10"/>
        <v>71 ปี  9 เดือน  13 วัน</v>
      </c>
      <c r="M15" s="29">
        <f t="shared" si="11"/>
        <v>700</v>
      </c>
      <c r="N15" s="199"/>
      <c r="O15" s="292"/>
      <c r="P15" s="31"/>
      <c r="Q15" s="36"/>
      <c r="R15" s="33"/>
      <c r="S15" s="34"/>
      <c r="T15" s="33"/>
      <c r="U15" s="33"/>
      <c r="V15" s="33"/>
      <c r="W15" s="37"/>
    </row>
    <row r="16" spans="1:23" s="1" customFormat="1" ht="23.25">
      <c r="A16" s="20">
        <f t="shared" si="5"/>
        <v>11</v>
      </c>
      <c r="B16" s="21" t="s">
        <v>32</v>
      </c>
      <c r="C16" s="123" t="s">
        <v>172</v>
      </c>
      <c r="D16" s="124" t="s">
        <v>284</v>
      </c>
      <c r="E16" s="24" t="s">
        <v>105</v>
      </c>
      <c r="F16" s="25">
        <v>1</v>
      </c>
      <c r="G16" s="26">
        <v>3730600576394</v>
      </c>
      <c r="H16" s="27">
        <v>214765</v>
      </c>
      <c r="I16" s="28">
        <f t="shared" si="7"/>
        <v>71</v>
      </c>
      <c r="J16" s="93">
        <f t="shared" si="8"/>
        <v>8</v>
      </c>
      <c r="K16" s="93">
        <f t="shared" si="9"/>
        <v>29</v>
      </c>
      <c r="L16" s="93" t="str">
        <f t="shared" si="10"/>
        <v>71 ปี  8 เดือน  29 วัน</v>
      </c>
      <c r="M16" s="29">
        <f t="shared" si="11"/>
        <v>700</v>
      </c>
      <c r="N16" s="199"/>
      <c r="O16" s="292"/>
      <c r="P16" s="31"/>
      <c r="Q16" s="36"/>
      <c r="R16" s="33"/>
      <c r="S16" s="33"/>
      <c r="T16" s="33"/>
      <c r="U16" s="33"/>
      <c r="V16" s="33"/>
      <c r="W16" s="37"/>
    </row>
    <row r="17" spans="1:23" s="1" customFormat="1" ht="23.25">
      <c r="A17" s="20">
        <f t="shared" si="5"/>
        <v>12</v>
      </c>
      <c r="B17" s="21" t="s">
        <v>296</v>
      </c>
      <c r="C17" s="123" t="s">
        <v>297</v>
      </c>
      <c r="D17" s="124" t="s">
        <v>298</v>
      </c>
      <c r="E17" s="24" t="s">
        <v>114</v>
      </c>
      <c r="F17" s="25">
        <v>1</v>
      </c>
      <c r="G17" s="26">
        <v>3730600579539</v>
      </c>
      <c r="H17" s="27">
        <v>214867</v>
      </c>
      <c r="I17" s="28">
        <f t="shared" si="7"/>
        <v>71</v>
      </c>
      <c r="J17" s="93">
        <f t="shared" si="8"/>
        <v>5</v>
      </c>
      <c r="K17" s="93">
        <f t="shared" si="9"/>
        <v>18</v>
      </c>
      <c r="L17" s="93" t="str">
        <f t="shared" si="10"/>
        <v>71 ปี  5 เดือน  18 วัน</v>
      </c>
      <c r="M17" s="29">
        <f t="shared" si="11"/>
        <v>700</v>
      </c>
      <c r="N17" s="199"/>
      <c r="O17" s="292"/>
      <c r="P17" s="31"/>
      <c r="Q17" s="36"/>
      <c r="R17" s="33"/>
      <c r="S17" s="33"/>
      <c r="T17" s="33"/>
      <c r="U17" s="33"/>
      <c r="V17" s="33"/>
      <c r="W17" s="37"/>
    </row>
    <row r="18" spans="1:23" s="1" customFormat="1" ht="23.25">
      <c r="A18" s="20">
        <f t="shared" si="5"/>
        <v>13</v>
      </c>
      <c r="B18" s="21" t="s">
        <v>31</v>
      </c>
      <c r="C18" s="123" t="s">
        <v>299</v>
      </c>
      <c r="D18" s="124" t="s">
        <v>300</v>
      </c>
      <c r="E18" s="24" t="s">
        <v>116</v>
      </c>
      <c r="F18" s="25">
        <v>1</v>
      </c>
      <c r="G18" s="26">
        <v>3730600581215</v>
      </c>
      <c r="H18" s="27">
        <v>214765</v>
      </c>
      <c r="I18" s="28">
        <f t="shared" si="7"/>
        <v>71</v>
      </c>
      <c r="J18" s="93">
        <f t="shared" si="8"/>
        <v>8</v>
      </c>
      <c r="K18" s="93">
        <f t="shared" si="9"/>
        <v>29</v>
      </c>
      <c r="L18" s="93" t="str">
        <f t="shared" si="10"/>
        <v>71 ปี  8 เดือน  29 วัน</v>
      </c>
      <c r="M18" s="29">
        <f t="shared" si="11"/>
        <v>700</v>
      </c>
      <c r="N18" s="199"/>
      <c r="O18" s="292"/>
      <c r="P18" s="31"/>
      <c r="Q18" s="36"/>
      <c r="R18" s="33"/>
      <c r="S18" s="33"/>
      <c r="T18" s="33"/>
      <c r="U18" s="33"/>
      <c r="V18" s="33"/>
      <c r="W18" s="37"/>
    </row>
    <row r="19" spans="1:24" s="1" customFormat="1" ht="23.25">
      <c r="A19" s="20">
        <f t="shared" si="5"/>
        <v>14</v>
      </c>
      <c r="B19" s="21" t="s">
        <v>31</v>
      </c>
      <c r="C19" s="123" t="s">
        <v>304</v>
      </c>
      <c r="D19" s="124" t="s">
        <v>123</v>
      </c>
      <c r="E19" s="24" t="s">
        <v>305</v>
      </c>
      <c r="F19" s="25">
        <v>1</v>
      </c>
      <c r="G19" s="26">
        <v>3730600580634</v>
      </c>
      <c r="H19" s="27">
        <v>215034</v>
      </c>
      <c r="I19" s="28">
        <f t="shared" si="7"/>
        <v>71</v>
      </c>
      <c r="J19" s="93">
        <f t="shared" si="8"/>
        <v>0</v>
      </c>
      <c r="K19" s="93">
        <f t="shared" si="9"/>
        <v>4</v>
      </c>
      <c r="L19" s="93" t="str">
        <f t="shared" si="10"/>
        <v>71 ปี  0 เดือน  4 วัน</v>
      </c>
      <c r="M19" s="29">
        <f t="shared" si="11"/>
        <v>700</v>
      </c>
      <c r="N19" s="199"/>
      <c r="O19" s="292"/>
      <c r="P19" s="31"/>
      <c r="Q19" s="40"/>
      <c r="R19" s="33"/>
      <c r="S19" s="33"/>
      <c r="T19" s="33"/>
      <c r="U19" s="33"/>
      <c r="V19" s="33"/>
      <c r="W19" s="41"/>
      <c r="X19" s="169"/>
    </row>
    <row r="20" spans="1:23" s="1" customFormat="1" ht="24" thickBot="1">
      <c r="A20" s="20">
        <f t="shared" si="5"/>
        <v>15</v>
      </c>
      <c r="B20" s="21" t="s">
        <v>31</v>
      </c>
      <c r="C20" s="123" t="s">
        <v>312</v>
      </c>
      <c r="D20" s="124" t="s">
        <v>313</v>
      </c>
      <c r="E20" s="24" t="s">
        <v>314</v>
      </c>
      <c r="F20" s="25">
        <v>1</v>
      </c>
      <c r="G20" s="26">
        <v>3100501254335</v>
      </c>
      <c r="H20" s="27">
        <v>214765</v>
      </c>
      <c r="I20" s="28">
        <f t="shared" si="7"/>
        <v>71</v>
      </c>
      <c r="J20" s="93">
        <f t="shared" si="8"/>
        <v>8</v>
      </c>
      <c r="K20" s="93">
        <f t="shared" si="9"/>
        <v>29</v>
      </c>
      <c r="L20" s="93" t="str">
        <f t="shared" si="10"/>
        <v>71 ปี  8 เดือน  29 วัน</v>
      </c>
      <c r="M20" s="29">
        <f t="shared" si="11"/>
        <v>700</v>
      </c>
      <c r="N20" s="199"/>
      <c r="O20" s="292"/>
      <c r="P20" s="31"/>
      <c r="Q20" s="43" t="s">
        <v>23</v>
      </c>
      <c r="R20" s="44">
        <f aca="true" t="shared" si="12" ref="R20:W20">SUM(R7:R19)</f>
        <v>0</v>
      </c>
      <c r="S20" s="44">
        <f t="shared" si="12"/>
        <v>206</v>
      </c>
      <c r="T20" s="44">
        <f t="shared" si="12"/>
        <v>0</v>
      </c>
      <c r="U20" s="44">
        <f t="shared" si="12"/>
        <v>0</v>
      </c>
      <c r="V20" s="44">
        <f t="shared" si="12"/>
        <v>206</v>
      </c>
      <c r="W20" s="45">
        <f t="shared" si="12"/>
        <v>144200</v>
      </c>
    </row>
    <row r="21" spans="1:23" s="1" customFormat="1" ht="27" thickTop="1">
      <c r="A21" s="20">
        <f t="shared" si="5"/>
        <v>16</v>
      </c>
      <c r="B21" s="21" t="s">
        <v>31</v>
      </c>
      <c r="C21" s="22" t="s">
        <v>336</v>
      </c>
      <c r="D21" s="23" t="s">
        <v>337</v>
      </c>
      <c r="E21" s="24" t="s">
        <v>338</v>
      </c>
      <c r="F21" s="25">
        <v>1</v>
      </c>
      <c r="G21" s="26">
        <v>3100203524750</v>
      </c>
      <c r="H21" s="27">
        <v>214800</v>
      </c>
      <c r="I21" s="28">
        <f t="shared" si="7"/>
        <v>71</v>
      </c>
      <c r="J21" s="93">
        <f t="shared" si="8"/>
        <v>7</v>
      </c>
      <c r="K21" s="93">
        <f t="shared" si="9"/>
        <v>25</v>
      </c>
      <c r="L21" s="93" t="str">
        <f t="shared" si="10"/>
        <v>71 ปี  7 เดือน  25 วัน</v>
      </c>
      <c r="M21" s="29">
        <f t="shared" si="11"/>
        <v>700</v>
      </c>
      <c r="N21" s="199"/>
      <c r="O21" s="292"/>
      <c r="P21" s="31"/>
      <c r="Q21" s="100" t="s">
        <v>28</v>
      </c>
      <c r="R21" s="98"/>
      <c r="S21" s="99">
        <v>240969</v>
      </c>
      <c r="T21" s="102"/>
      <c r="U21" s="102"/>
      <c r="V21" s="102"/>
      <c r="W21" s="103"/>
    </row>
    <row r="22" spans="1:16" s="1" customFormat="1" ht="23.25">
      <c r="A22" s="20">
        <f t="shared" si="5"/>
        <v>17</v>
      </c>
      <c r="B22" s="21" t="s">
        <v>30</v>
      </c>
      <c r="C22" s="123" t="s">
        <v>252</v>
      </c>
      <c r="D22" s="124" t="s">
        <v>343</v>
      </c>
      <c r="E22" s="24" t="s">
        <v>344</v>
      </c>
      <c r="F22" s="25">
        <v>1</v>
      </c>
      <c r="G22" s="26">
        <v>3730600591865</v>
      </c>
      <c r="H22" s="27">
        <v>214909</v>
      </c>
      <c r="I22" s="28">
        <f t="shared" si="7"/>
        <v>71</v>
      </c>
      <c r="J22" s="93">
        <f t="shared" si="8"/>
        <v>4</v>
      </c>
      <c r="K22" s="93">
        <f t="shared" si="9"/>
        <v>6</v>
      </c>
      <c r="L22" s="93" t="str">
        <f t="shared" si="10"/>
        <v>71 ปี  4 เดือน  6 วัน</v>
      </c>
      <c r="M22" s="29">
        <f t="shared" si="11"/>
        <v>700</v>
      </c>
      <c r="N22" s="199"/>
      <c r="O22" s="292"/>
      <c r="P22" s="31"/>
    </row>
    <row r="23" spans="1:22" s="1" customFormat="1" ht="23.25">
      <c r="A23" s="20">
        <f t="shared" si="5"/>
        <v>18</v>
      </c>
      <c r="B23" s="21" t="s">
        <v>31</v>
      </c>
      <c r="C23" s="123" t="s">
        <v>147</v>
      </c>
      <c r="D23" s="124" t="s">
        <v>443</v>
      </c>
      <c r="E23" s="24" t="s">
        <v>444</v>
      </c>
      <c r="F23" s="156">
        <v>1</v>
      </c>
      <c r="G23" s="26">
        <v>3101401317816</v>
      </c>
      <c r="H23" s="27">
        <v>214936</v>
      </c>
      <c r="I23" s="28">
        <f t="shared" si="7"/>
        <v>71</v>
      </c>
      <c r="J23" s="93">
        <f t="shared" si="8"/>
        <v>3</v>
      </c>
      <c r="K23" s="93">
        <f t="shared" si="9"/>
        <v>10</v>
      </c>
      <c r="L23" s="93" t="str">
        <f t="shared" si="10"/>
        <v>71 ปี  3 เดือน  10 วัน</v>
      </c>
      <c r="M23" s="29">
        <f t="shared" si="11"/>
        <v>700</v>
      </c>
      <c r="N23" s="199"/>
      <c r="O23" s="292"/>
      <c r="P23" s="31"/>
      <c r="R23" s="111" t="s">
        <v>0</v>
      </c>
      <c r="S23" s="112" t="s">
        <v>22</v>
      </c>
      <c r="T23" s="105"/>
      <c r="U23" s="113" t="s">
        <v>1</v>
      </c>
      <c r="V23" s="113" t="s">
        <v>22</v>
      </c>
    </row>
    <row r="24" spans="1:22" s="1" customFormat="1" ht="26.25">
      <c r="A24" s="20">
        <f t="shared" si="5"/>
        <v>19</v>
      </c>
      <c r="B24" s="21" t="s">
        <v>32</v>
      </c>
      <c r="C24" s="121" t="s">
        <v>877</v>
      </c>
      <c r="D24" s="122" t="s">
        <v>548</v>
      </c>
      <c r="E24" s="24" t="s">
        <v>272</v>
      </c>
      <c r="F24" s="25">
        <v>1</v>
      </c>
      <c r="G24" s="26">
        <v>3730600143412</v>
      </c>
      <c r="H24" s="27">
        <v>214513</v>
      </c>
      <c r="I24" s="28">
        <f t="shared" si="7"/>
        <v>72</v>
      </c>
      <c r="J24" s="93">
        <f t="shared" si="8"/>
        <v>5</v>
      </c>
      <c r="K24" s="93">
        <f t="shared" si="9"/>
        <v>6</v>
      </c>
      <c r="L24" s="93" t="str">
        <f t="shared" si="10"/>
        <v>72 ปี  5 เดือน  6 วัน</v>
      </c>
      <c r="M24" s="29">
        <f t="shared" si="11"/>
        <v>700</v>
      </c>
      <c r="N24" s="30"/>
      <c r="O24" s="293"/>
      <c r="P24" s="31"/>
      <c r="R24" s="117">
        <v>70</v>
      </c>
      <c r="S24" s="96">
        <f>COUNTIF(I6:I94,"70")</f>
        <v>9</v>
      </c>
      <c r="T24" s="105"/>
      <c r="U24" s="115" t="s">
        <v>2</v>
      </c>
      <c r="V24" s="93">
        <v>0</v>
      </c>
    </row>
    <row r="25" spans="1:24" s="19" customFormat="1" ht="26.25">
      <c r="A25" s="20">
        <f t="shared" si="5"/>
        <v>20</v>
      </c>
      <c r="B25" s="21" t="s">
        <v>31</v>
      </c>
      <c r="C25" s="123" t="s">
        <v>317</v>
      </c>
      <c r="D25" s="124" t="s">
        <v>878</v>
      </c>
      <c r="E25" s="24" t="s">
        <v>794</v>
      </c>
      <c r="F25" s="25">
        <v>1</v>
      </c>
      <c r="G25" s="26">
        <v>3730600575762</v>
      </c>
      <c r="H25" s="27">
        <v>214605</v>
      </c>
      <c r="I25" s="28">
        <f t="shared" si="7"/>
        <v>72</v>
      </c>
      <c r="J25" s="93">
        <f t="shared" si="8"/>
        <v>2</v>
      </c>
      <c r="K25" s="93">
        <f t="shared" si="9"/>
        <v>5</v>
      </c>
      <c r="L25" s="93" t="str">
        <f t="shared" si="10"/>
        <v>72 ปี  2 เดือน  5 วัน</v>
      </c>
      <c r="M25" s="29">
        <f t="shared" si="11"/>
        <v>700</v>
      </c>
      <c r="N25" s="30"/>
      <c r="O25" s="294" t="s">
        <v>1198</v>
      </c>
      <c r="P25" s="31"/>
      <c r="R25" s="114">
        <v>71</v>
      </c>
      <c r="S25" s="96">
        <f>COUNTIF(I6:I94,"71")</f>
        <v>11</v>
      </c>
      <c r="T25" s="105"/>
      <c r="U25" s="115" t="s">
        <v>7</v>
      </c>
      <c r="V25" s="93">
        <f>SUM(S24:S33)</f>
        <v>87</v>
      </c>
      <c r="W25" s="19" t="s">
        <v>1199</v>
      </c>
      <c r="X25" s="1"/>
    </row>
    <row r="26" spans="1:24" ht="26.25">
      <c r="A26" s="20">
        <f t="shared" si="5"/>
        <v>21</v>
      </c>
      <c r="B26" s="21" t="s">
        <v>31</v>
      </c>
      <c r="C26" s="123" t="s">
        <v>879</v>
      </c>
      <c r="D26" s="124" t="s">
        <v>407</v>
      </c>
      <c r="E26" s="24" t="s">
        <v>255</v>
      </c>
      <c r="F26" s="25">
        <v>1</v>
      </c>
      <c r="G26" s="26">
        <v>3730600576459</v>
      </c>
      <c r="H26" s="27">
        <v>214369</v>
      </c>
      <c r="I26" s="28">
        <f t="shared" si="7"/>
        <v>72</v>
      </c>
      <c r="J26" s="93">
        <f t="shared" si="8"/>
        <v>9</v>
      </c>
      <c r="K26" s="93">
        <f t="shared" si="9"/>
        <v>29</v>
      </c>
      <c r="L26" s="93" t="str">
        <f t="shared" si="10"/>
        <v>72 ปี  9 เดือน  29 วัน</v>
      </c>
      <c r="M26" s="38">
        <f t="shared" si="11"/>
        <v>700</v>
      </c>
      <c r="N26" s="39"/>
      <c r="O26" s="295"/>
      <c r="P26" s="31"/>
      <c r="Q26" s="42"/>
      <c r="R26" s="114">
        <v>72</v>
      </c>
      <c r="S26" s="96">
        <f>COUNTIF(I6:I94,"72")</f>
        <v>9</v>
      </c>
      <c r="T26" s="108"/>
      <c r="U26" s="115" t="s">
        <v>8</v>
      </c>
      <c r="V26" s="93">
        <v>0</v>
      </c>
      <c r="W26" s="42"/>
      <c r="X26" s="1"/>
    </row>
    <row r="27" spans="1:24" ht="26.25">
      <c r="A27" s="20">
        <f t="shared" si="5"/>
        <v>22</v>
      </c>
      <c r="B27" s="21" t="s">
        <v>32</v>
      </c>
      <c r="C27" s="121" t="s">
        <v>880</v>
      </c>
      <c r="D27" s="122" t="s">
        <v>378</v>
      </c>
      <c r="E27" s="24" t="s">
        <v>881</v>
      </c>
      <c r="F27" s="25">
        <v>1</v>
      </c>
      <c r="G27" s="26">
        <v>3730600598894</v>
      </c>
      <c r="H27" s="27">
        <v>214400</v>
      </c>
      <c r="I27" s="28">
        <f t="shared" si="7"/>
        <v>72</v>
      </c>
      <c r="J27" s="93">
        <f t="shared" si="8"/>
        <v>8</v>
      </c>
      <c r="K27" s="93">
        <f t="shared" si="9"/>
        <v>29</v>
      </c>
      <c r="L27" s="93" t="str">
        <f t="shared" si="10"/>
        <v>72 ปี  8 เดือน  29 วัน</v>
      </c>
      <c r="M27" s="38">
        <f t="shared" si="11"/>
        <v>700</v>
      </c>
      <c r="N27" s="39"/>
      <c r="O27" s="295"/>
      <c r="P27" s="13"/>
      <c r="Q27" s="42"/>
      <c r="R27" s="114">
        <v>73</v>
      </c>
      <c r="S27" s="96">
        <f>COUNTIF(I6:I94,"73")</f>
        <v>5</v>
      </c>
      <c r="T27" s="108"/>
      <c r="U27" s="115" t="s">
        <v>9</v>
      </c>
      <c r="V27" s="93">
        <v>0</v>
      </c>
      <c r="W27" s="42"/>
      <c r="X27" s="19"/>
    </row>
    <row r="28" spans="1:24" ht="26.25">
      <c r="A28" s="20">
        <f t="shared" si="5"/>
        <v>23</v>
      </c>
      <c r="B28" s="21" t="s">
        <v>31</v>
      </c>
      <c r="C28" s="123" t="s">
        <v>882</v>
      </c>
      <c r="D28" s="124" t="s">
        <v>477</v>
      </c>
      <c r="E28" s="24" t="s">
        <v>883</v>
      </c>
      <c r="F28" s="25">
        <v>1</v>
      </c>
      <c r="G28" s="26">
        <v>3730600579971</v>
      </c>
      <c r="H28" s="27">
        <v>214400</v>
      </c>
      <c r="I28" s="28">
        <f t="shared" si="7"/>
        <v>72</v>
      </c>
      <c r="J28" s="93">
        <f t="shared" si="8"/>
        <v>8</v>
      </c>
      <c r="K28" s="93">
        <f t="shared" si="9"/>
        <v>29</v>
      </c>
      <c r="L28" s="93" t="str">
        <f t="shared" si="10"/>
        <v>72 ปี  8 เดือน  29 วัน</v>
      </c>
      <c r="M28" s="38">
        <f t="shared" si="11"/>
        <v>700</v>
      </c>
      <c r="N28" s="39"/>
      <c r="O28" s="295"/>
      <c r="Q28" s="42"/>
      <c r="R28" s="114">
        <v>74</v>
      </c>
      <c r="S28" s="96">
        <f>COUNTIF(I6:I94,"74")</f>
        <v>10</v>
      </c>
      <c r="T28" s="108"/>
      <c r="U28" s="113" t="s">
        <v>25</v>
      </c>
      <c r="V28" s="113">
        <f>SUM(V24:V27)</f>
        <v>87</v>
      </c>
      <c r="W28" s="42"/>
      <c r="X28" s="46"/>
    </row>
    <row r="29" spans="1:24" ht="26.25">
      <c r="A29" s="20">
        <f t="shared" si="5"/>
        <v>24</v>
      </c>
      <c r="B29" s="21" t="s">
        <v>31</v>
      </c>
      <c r="C29" s="123" t="s">
        <v>884</v>
      </c>
      <c r="D29" s="124" t="s">
        <v>284</v>
      </c>
      <c r="E29" s="24" t="s">
        <v>665</v>
      </c>
      <c r="F29" s="25">
        <v>1</v>
      </c>
      <c r="G29" s="26">
        <v>3730600581533</v>
      </c>
      <c r="H29" s="27">
        <v>214400</v>
      </c>
      <c r="I29" s="28">
        <f t="shared" si="7"/>
        <v>72</v>
      </c>
      <c r="J29" s="93">
        <f t="shared" si="8"/>
        <v>8</v>
      </c>
      <c r="K29" s="93">
        <f t="shared" si="9"/>
        <v>29</v>
      </c>
      <c r="L29" s="93" t="str">
        <f t="shared" si="10"/>
        <v>72 ปี  8 เดือน  29 วัน</v>
      </c>
      <c r="M29" s="38">
        <f t="shared" si="11"/>
        <v>700</v>
      </c>
      <c r="N29" s="39"/>
      <c r="O29" s="295"/>
      <c r="Q29" s="100"/>
      <c r="R29" s="114">
        <v>75</v>
      </c>
      <c r="S29" s="96">
        <f>COUNTIF(I6:I94,"75")</f>
        <v>9</v>
      </c>
      <c r="W29" s="103"/>
      <c r="X29" s="46"/>
    </row>
    <row r="30" spans="1:31" ht="26.25">
      <c r="A30" s="20">
        <f t="shared" si="5"/>
        <v>25</v>
      </c>
      <c r="B30" s="21" t="s">
        <v>30</v>
      </c>
      <c r="C30" s="123" t="s">
        <v>160</v>
      </c>
      <c r="D30" s="124" t="s">
        <v>885</v>
      </c>
      <c r="E30" s="24" t="s">
        <v>886</v>
      </c>
      <c r="F30" s="25">
        <v>1</v>
      </c>
      <c r="G30" s="26">
        <v>3102201705619</v>
      </c>
      <c r="H30" s="27">
        <v>214642</v>
      </c>
      <c r="I30" s="28">
        <f t="shared" si="7"/>
        <v>72</v>
      </c>
      <c r="J30" s="93">
        <f t="shared" si="8"/>
        <v>0</v>
      </c>
      <c r="K30" s="93">
        <f t="shared" si="9"/>
        <v>30</v>
      </c>
      <c r="L30" s="93" t="str">
        <f t="shared" si="10"/>
        <v>72 ปี  0 เดือน  30 วัน</v>
      </c>
      <c r="M30" s="38">
        <f t="shared" si="11"/>
        <v>700</v>
      </c>
      <c r="N30" s="39"/>
      <c r="O30" s="278"/>
      <c r="Q30" s="104"/>
      <c r="R30" s="114">
        <v>76</v>
      </c>
      <c r="S30" s="96">
        <f>COUNTIF(I6:I94,"76")</f>
        <v>8</v>
      </c>
      <c r="U30" s="351" t="s">
        <v>30</v>
      </c>
      <c r="V30" s="352">
        <f>COUNTIF(B6:B215,"นาย")</f>
        <v>70</v>
      </c>
      <c r="W30" s="106"/>
      <c r="X30" s="51"/>
      <c r="Y30" s="51"/>
      <c r="Z30" s="51"/>
      <c r="AA30" s="51"/>
      <c r="AB30" s="52"/>
      <c r="AC30" s="52"/>
      <c r="AD30" s="52"/>
      <c r="AE30" s="51"/>
    </row>
    <row r="31" spans="1:31" ht="26.25">
      <c r="A31" s="20">
        <f t="shared" si="5"/>
        <v>26</v>
      </c>
      <c r="B31" s="21" t="s">
        <v>31</v>
      </c>
      <c r="C31" s="123" t="s">
        <v>157</v>
      </c>
      <c r="D31" s="124" t="s">
        <v>887</v>
      </c>
      <c r="E31" s="24" t="s">
        <v>286</v>
      </c>
      <c r="F31" s="25">
        <v>1</v>
      </c>
      <c r="G31" s="26">
        <v>3730600577421</v>
      </c>
      <c r="H31" s="27">
        <v>214400</v>
      </c>
      <c r="I31" s="28">
        <f t="shared" si="7"/>
        <v>72</v>
      </c>
      <c r="J31" s="93">
        <f t="shared" si="8"/>
        <v>8</v>
      </c>
      <c r="K31" s="93">
        <f t="shared" si="9"/>
        <v>29</v>
      </c>
      <c r="L31" s="93" t="str">
        <f t="shared" si="10"/>
        <v>72 ปี  8 เดือน  29 วัน</v>
      </c>
      <c r="M31" s="38">
        <f t="shared" si="11"/>
        <v>700</v>
      </c>
      <c r="N31" s="39"/>
      <c r="O31" s="295"/>
      <c r="R31" s="167">
        <v>77</v>
      </c>
      <c r="S31" s="96">
        <f>COUNTIF(I7:I95,"77")</f>
        <v>7</v>
      </c>
      <c r="U31" s="351" t="s">
        <v>31</v>
      </c>
      <c r="V31" s="352">
        <f>COUNTIF(B6:B215,"นาง")</f>
        <v>108</v>
      </c>
      <c r="W31" s="106"/>
      <c r="X31" s="51"/>
      <c r="Y31" s="51"/>
      <c r="Z31" s="51"/>
      <c r="AA31" s="51"/>
      <c r="AB31" s="52"/>
      <c r="AC31" s="52"/>
      <c r="AD31" s="52"/>
      <c r="AE31" s="51"/>
    </row>
    <row r="32" spans="1:31" ht="26.25">
      <c r="A32" s="20">
        <f t="shared" si="5"/>
        <v>27</v>
      </c>
      <c r="B32" s="21" t="s">
        <v>30</v>
      </c>
      <c r="C32" s="123" t="s">
        <v>888</v>
      </c>
      <c r="D32" s="124" t="s">
        <v>889</v>
      </c>
      <c r="E32" s="24" t="s">
        <v>890</v>
      </c>
      <c r="F32" s="25">
        <v>1</v>
      </c>
      <c r="G32" s="26">
        <v>3100201499871</v>
      </c>
      <c r="H32" s="27">
        <v>214400</v>
      </c>
      <c r="I32" s="28">
        <f t="shared" si="7"/>
        <v>72</v>
      </c>
      <c r="J32" s="93">
        <f t="shared" si="8"/>
        <v>8</v>
      </c>
      <c r="K32" s="93">
        <f t="shared" si="9"/>
        <v>29</v>
      </c>
      <c r="L32" s="93" t="str">
        <f t="shared" si="10"/>
        <v>72 ปี  8 เดือน  29 วัน</v>
      </c>
      <c r="M32" s="38">
        <f t="shared" si="11"/>
        <v>700</v>
      </c>
      <c r="N32" s="30"/>
      <c r="O32" s="296"/>
      <c r="R32" s="114">
        <v>78</v>
      </c>
      <c r="S32" s="96">
        <f>COUNTIF(I6:I94,"78")</f>
        <v>11</v>
      </c>
      <c r="U32" s="351" t="s">
        <v>32</v>
      </c>
      <c r="V32" s="352">
        <f>COUNTIF(B6:B215,"น.ส.")</f>
        <v>26</v>
      </c>
      <c r="W32" s="106"/>
      <c r="X32" s="51"/>
      <c r="Y32" s="51"/>
      <c r="Z32" s="51"/>
      <c r="AA32" s="51"/>
      <c r="AB32" s="52"/>
      <c r="AC32" s="52"/>
      <c r="AD32" s="52"/>
      <c r="AE32" s="51"/>
    </row>
    <row r="33" spans="1:23" ht="26.25">
      <c r="A33" s="20">
        <f t="shared" si="5"/>
        <v>28</v>
      </c>
      <c r="B33" s="21" t="s">
        <v>31</v>
      </c>
      <c r="C33" s="123" t="s">
        <v>894</v>
      </c>
      <c r="D33" s="124" t="s">
        <v>407</v>
      </c>
      <c r="E33" s="24" t="s">
        <v>642</v>
      </c>
      <c r="F33" s="25">
        <v>1</v>
      </c>
      <c r="G33" s="26">
        <v>3730600578184</v>
      </c>
      <c r="H33" s="27">
        <v>214035</v>
      </c>
      <c r="I33" s="28">
        <f t="shared" si="7"/>
        <v>73</v>
      </c>
      <c r="J33" s="93">
        <f t="shared" si="8"/>
        <v>8</v>
      </c>
      <c r="K33" s="93">
        <f t="shared" si="9"/>
        <v>29</v>
      </c>
      <c r="L33" s="93" t="str">
        <f t="shared" si="10"/>
        <v>73 ปี  8 เดือน  29 วัน</v>
      </c>
      <c r="M33" s="38">
        <f t="shared" si="11"/>
        <v>700</v>
      </c>
      <c r="N33" s="30"/>
      <c r="O33" s="297"/>
      <c r="Q33" s="107"/>
      <c r="R33" s="114">
        <v>79</v>
      </c>
      <c r="S33" s="96">
        <f>COUNTIF(I6:I94,"79")</f>
        <v>8</v>
      </c>
      <c r="U33" s="351" t="s">
        <v>296</v>
      </c>
      <c r="V33" s="352">
        <f>COUNTIF(B6:B215,"พระ")</f>
        <v>2</v>
      </c>
      <c r="W33" s="109"/>
    </row>
    <row r="34" spans="1:23" ht="27" thickBot="1">
      <c r="A34" s="20">
        <f t="shared" si="5"/>
        <v>29</v>
      </c>
      <c r="B34" s="21" t="s">
        <v>30</v>
      </c>
      <c r="C34" s="123" t="s">
        <v>895</v>
      </c>
      <c r="D34" s="124" t="s">
        <v>274</v>
      </c>
      <c r="E34" s="24" t="s">
        <v>367</v>
      </c>
      <c r="F34" s="25">
        <v>1</v>
      </c>
      <c r="G34" s="26">
        <v>3730600578257</v>
      </c>
      <c r="H34" s="27">
        <v>214133</v>
      </c>
      <c r="I34" s="28">
        <f t="shared" si="7"/>
        <v>73</v>
      </c>
      <c r="J34" s="93">
        <f t="shared" si="8"/>
        <v>5</v>
      </c>
      <c r="K34" s="93">
        <f t="shared" si="9"/>
        <v>21</v>
      </c>
      <c r="L34" s="93" t="str">
        <f t="shared" si="10"/>
        <v>73 ปี  5 เดือน  21 วัน</v>
      </c>
      <c r="M34" s="38">
        <f t="shared" si="11"/>
        <v>700</v>
      </c>
      <c r="N34" s="39"/>
      <c r="O34" s="295"/>
      <c r="Q34" s="110"/>
      <c r="R34" s="464" t="s">
        <v>25</v>
      </c>
      <c r="S34" s="113">
        <f>SUM(S24:S33)</f>
        <v>87</v>
      </c>
      <c r="U34" s="351" t="s">
        <v>1169</v>
      </c>
      <c r="V34" s="352">
        <f>COUNTIF(B6:B215,"ส.ณ.")</f>
        <v>1</v>
      </c>
      <c r="W34" s="109"/>
    </row>
    <row r="35" spans="1:25" ht="27" thickTop="1">
      <c r="A35" s="20">
        <f t="shared" si="5"/>
        <v>30</v>
      </c>
      <c r="B35" s="21" t="s">
        <v>31</v>
      </c>
      <c r="C35" s="123" t="s">
        <v>627</v>
      </c>
      <c r="D35" s="124" t="s">
        <v>896</v>
      </c>
      <c r="E35" s="24" t="s">
        <v>92</v>
      </c>
      <c r="F35" s="25">
        <v>1</v>
      </c>
      <c r="G35" s="26">
        <v>3730600578460</v>
      </c>
      <c r="H35" s="27">
        <v>213670</v>
      </c>
      <c r="I35" s="28">
        <f t="shared" si="7"/>
        <v>74</v>
      </c>
      <c r="J35" s="93">
        <f t="shared" si="8"/>
        <v>8</v>
      </c>
      <c r="K35" s="93">
        <f t="shared" si="9"/>
        <v>29</v>
      </c>
      <c r="L35" s="93" t="str">
        <f t="shared" si="10"/>
        <v>74 ปี  8 เดือน  29 วัน</v>
      </c>
      <c r="M35" s="38">
        <f t="shared" si="11"/>
        <v>700</v>
      </c>
      <c r="N35" s="30"/>
      <c r="O35" s="297"/>
      <c r="Q35" s="110"/>
      <c r="U35" s="352" t="s">
        <v>25</v>
      </c>
      <c r="V35" s="352">
        <f>SUM(V30:V34)</f>
        <v>207</v>
      </c>
      <c r="W35" s="109"/>
      <c r="Y35" s="42" t="s">
        <v>1198</v>
      </c>
    </row>
    <row r="36" spans="1:22" ht="26.25">
      <c r="A36" s="20">
        <f t="shared" si="5"/>
        <v>31</v>
      </c>
      <c r="B36" s="21" t="s">
        <v>31</v>
      </c>
      <c r="C36" s="123" t="s">
        <v>897</v>
      </c>
      <c r="D36" s="124" t="s">
        <v>274</v>
      </c>
      <c r="E36" s="24" t="s">
        <v>78</v>
      </c>
      <c r="F36" s="25">
        <v>1</v>
      </c>
      <c r="G36" s="26">
        <v>3730600578320</v>
      </c>
      <c r="H36" s="27">
        <v>213700</v>
      </c>
      <c r="I36" s="28">
        <f t="shared" si="7"/>
        <v>74</v>
      </c>
      <c r="J36" s="93">
        <f t="shared" si="8"/>
        <v>7</v>
      </c>
      <c r="K36" s="93">
        <f t="shared" si="9"/>
        <v>30</v>
      </c>
      <c r="L36" s="93" t="str">
        <f t="shared" si="10"/>
        <v>74 ปี  7 เดือน  30 วัน</v>
      </c>
      <c r="M36" s="38">
        <f t="shared" si="11"/>
        <v>700</v>
      </c>
      <c r="N36" s="30"/>
      <c r="O36" s="297"/>
      <c r="R36" s="111" t="s">
        <v>0</v>
      </c>
      <c r="S36" s="112" t="s">
        <v>22</v>
      </c>
      <c r="V36" s="116"/>
    </row>
    <row r="37" spans="1:24" s="53" customFormat="1" ht="26.25">
      <c r="A37" s="20">
        <f t="shared" si="5"/>
        <v>32</v>
      </c>
      <c r="B37" s="21" t="s">
        <v>30</v>
      </c>
      <c r="C37" s="121" t="s">
        <v>144</v>
      </c>
      <c r="D37" s="122" t="s">
        <v>898</v>
      </c>
      <c r="E37" s="24" t="s">
        <v>75</v>
      </c>
      <c r="F37" s="25">
        <v>1</v>
      </c>
      <c r="G37" s="26">
        <v>3730600580871</v>
      </c>
      <c r="H37" s="27">
        <v>211843</v>
      </c>
      <c r="I37" s="28">
        <f t="shared" si="7"/>
        <v>79</v>
      </c>
      <c r="J37" s="93">
        <f t="shared" si="8"/>
        <v>8</v>
      </c>
      <c r="K37" s="93">
        <f t="shared" si="9"/>
        <v>29</v>
      </c>
      <c r="L37" s="93" t="str">
        <f t="shared" si="10"/>
        <v>79 ปี  8 เดือน  29 วัน</v>
      </c>
      <c r="M37" s="38">
        <f t="shared" si="11"/>
        <v>700</v>
      </c>
      <c r="N37" s="30"/>
      <c r="O37" s="297"/>
      <c r="P37" s="42"/>
      <c r="Q37" s="101"/>
      <c r="R37" s="117">
        <v>70</v>
      </c>
      <c r="S37" s="96">
        <f>COUNTIF(I95:I131,"70")</f>
        <v>4</v>
      </c>
      <c r="T37" s="105"/>
      <c r="U37" s="113" t="s">
        <v>1</v>
      </c>
      <c r="V37" s="113" t="s">
        <v>22</v>
      </c>
      <c r="W37" s="101"/>
      <c r="X37" s="42"/>
    </row>
    <row r="38" spans="1:23" s="53" customFormat="1" ht="26.25">
      <c r="A38" s="20">
        <f t="shared" si="5"/>
        <v>33</v>
      </c>
      <c r="B38" s="21" t="s">
        <v>31</v>
      </c>
      <c r="C38" s="123" t="s">
        <v>899</v>
      </c>
      <c r="D38" s="124" t="s">
        <v>900</v>
      </c>
      <c r="E38" s="24" t="s">
        <v>79</v>
      </c>
      <c r="F38" s="25">
        <v>1</v>
      </c>
      <c r="G38" s="26">
        <v>3730600579628</v>
      </c>
      <c r="H38" s="27">
        <v>212209</v>
      </c>
      <c r="I38" s="28">
        <f t="shared" si="7"/>
        <v>78</v>
      </c>
      <c r="J38" s="93">
        <f t="shared" si="8"/>
        <v>8</v>
      </c>
      <c r="K38" s="93">
        <f t="shared" si="9"/>
        <v>29</v>
      </c>
      <c r="L38" s="93" t="str">
        <f t="shared" si="10"/>
        <v>78 ปี  8 เดือน  29 วัน</v>
      </c>
      <c r="M38" s="38">
        <f t="shared" si="11"/>
        <v>700</v>
      </c>
      <c r="N38" s="30"/>
      <c r="O38" s="278"/>
      <c r="Q38" s="101"/>
      <c r="R38" s="114">
        <v>71</v>
      </c>
      <c r="S38" s="96">
        <f>COUNTIF(I95:I131,"71")</f>
        <v>6</v>
      </c>
      <c r="T38" s="105"/>
      <c r="U38" s="115" t="s">
        <v>2</v>
      </c>
      <c r="V38" s="352">
        <v>0</v>
      </c>
      <c r="W38" s="101" t="s">
        <v>684</v>
      </c>
    </row>
    <row r="39" spans="1:24" s="54" customFormat="1" ht="26.25">
      <c r="A39" s="20">
        <f t="shared" si="5"/>
        <v>34</v>
      </c>
      <c r="B39" s="21" t="s">
        <v>31</v>
      </c>
      <c r="C39" s="123" t="s">
        <v>217</v>
      </c>
      <c r="D39" s="124" t="s">
        <v>901</v>
      </c>
      <c r="E39" s="24" t="s">
        <v>902</v>
      </c>
      <c r="F39" s="25">
        <v>1</v>
      </c>
      <c r="G39" s="26">
        <v>3730600578761</v>
      </c>
      <c r="H39" s="27">
        <v>213450</v>
      </c>
      <c r="I39" s="28">
        <f t="shared" si="7"/>
        <v>75</v>
      </c>
      <c r="J39" s="93">
        <f t="shared" si="8"/>
        <v>4</v>
      </c>
      <c r="K39" s="93">
        <f t="shared" si="9"/>
        <v>4</v>
      </c>
      <c r="L39" s="93" t="str">
        <f t="shared" si="10"/>
        <v>75 ปี  4 เดือน  4 วัน</v>
      </c>
      <c r="M39" s="38">
        <f t="shared" si="11"/>
        <v>700</v>
      </c>
      <c r="N39" s="30"/>
      <c r="O39" s="297"/>
      <c r="P39" s="53"/>
      <c r="Q39" s="101"/>
      <c r="R39" s="114">
        <v>72</v>
      </c>
      <c r="S39" s="96">
        <f>COUNTIF(I95:I131,"72")</f>
        <v>2</v>
      </c>
      <c r="T39" s="105"/>
      <c r="U39" s="115" t="s">
        <v>7</v>
      </c>
      <c r="V39" s="352">
        <f>SUM(S37:S46)</f>
        <v>37</v>
      </c>
      <c r="W39" s="101"/>
      <c r="X39" s="53"/>
    </row>
    <row r="40" spans="1:24" s="1" customFormat="1" ht="26.25">
      <c r="A40" s="20">
        <f t="shared" si="5"/>
        <v>35</v>
      </c>
      <c r="B40" s="21" t="s">
        <v>32</v>
      </c>
      <c r="C40" s="123" t="s">
        <v>557</v>
      </c>
      <c r="D40" s="124" t="s">
        <v>300</v>
      </c>
      <c r="E40" s="24" t="s">
        <v>474</v>
      </c>
      <c r="F40" s="25">
        <v>1</v>
      </c>
      <c r="G40" s="26">
        <v>3730600577871</v>
      </c>
      <c r="H40" s="27">
        <v>213304</v>
      </c>
      <c r="I40" s="28">
        <f t="shared" si="7"/>
        <v>75</v>
      </c>
      <c r="J40" s="93">
        <f t="shared" si="8"/>
        <v>8</v>
      </c>
      <c r="K40" s="93">
        <f t="shared" si="9"/>
        <v>29</v>
      </c>
      <c r="L40" s="93" t="str">
        <f t="shared" si="10"/>
        <v>75 ปี  8 เดือน  29 วัน</v>
      </c>
      <c r="M40" s="38">
        <f t="shared" si="11"/>
        <v>700</v>
      </c>
      <c r="N40" s="39"/>
      <c r="O40" s="295"/>
      <c r="P40" s="54"/>
      <c r="Q40" s="101"/>
      <c r="R40" s="114">
        <v>73</v>
      </c>
      <c r="S40" s="96">
        <f>COUNTIF(I95:I131,"73")</f>
        <v>3</v>
      </c>
      <c r="T40" s="108"/>
      <c r="U40" s="115" t="s">
        <v>8</v>
      </c>
      <c r="V40" s="352">
        <v>0</v>
      </c>
      <c r="W40" s="96"/>
      <c r="X40" s="54"/>
    </row>
    <row r="41" spans="1:24" s="4" customFormat="1" ht="26.25">
      <c r="A41" s="20">
        <f t="shared" si="5"/>
        <v>36</v>
      </c>
      <c r="B41" s="21" t="s">
        <v>31</v>
      </c>
      <c r="C41" s="123" t="s">
        <v>39</v>
      </c>
      <c r="D41" s="124" t="s">
        <v>903</v>
      </c>
      <c r="E41" s="24" t="s">
        <v>126</v>
      </c>
      <c r="F41" s="25">
        <v>1</v>
      </c>
      <c r="G41" s="26">
        <v>3730600580430</v>
      </c>
      <c r="H41" s="27">
        <v>212209</v>
      </c>
      <c r="I41" s="28">
        <f t="shared" si="7"/>
        <v>78</v>
      </c>
      <c r="J41" s="93">
        <f t="shared" si="8"/>
        <v>8</v>
      </c>
      <c r="K41" s="93">
        <f t="shared" si="9"/>
        <v>29</v>
      </c>
      <c r="L41" s="93" t="str">
        <f t="shared" si="10"/>
        <v>78 ปี  8 เดือน  29 วัน</v>
      </c>
      <c r="M41" s="38">
        <f t="shared" si="11"/>
        <v>700</v>
      </c>
      <c r="N41" s="30"/>
      <c r="O41" s="296"/>
      <c r="P41" s="1"/>
      <c r="Q41" s="101"/>
      <c r="R41" s="114">
        <v>74</v>
      </c>
      <c r="S41" s="96">
        <f>COUNTIF(I95:I131,"74")</f>
        <v>6</v>
      </c>
      <c r="T41" s="108"/>
      <c r="U41" s="115" t="s">
        <v>9</v>
      </c>
      <c r="V41" s="352">
        <v>0</v>
      </c>
      <c r="W41" s="101"/>
      <c r="X41" s="1"/>
    </row>
    <row r="42" spans="1:24" ht="26.25">
      <c r="A42" s="20">
        <f t="shared" si="5"/>
        <v>37</v>
      </c>
      <c r="B42" s="21" t="s">
        <v>30</v>
      </c>
      <c r="C42" s="123" t="s">
        <v>904</v>
      </c>
      <c r="D42" s="124" t="s">
        <v>354</v>
      </c>
      <c r="E42" s="24" t="s">
        <v>97</v>
      </c>
      <c r="F42" s="25">
        <v>1</v>
      </c>
      <c r="G42" s="26">
        <v>3730600574723</v>
      </c>
      <c r="H42" s="27">
        <v>211843</v>
      </c>
      <c r="I42" s="28">
        <f t="shared" si="7"/>
        <v>79</v>
      </c>
      <c r="J42" s="93">
        <f t="shared" si="8"/>
        <v>8</v>
      </c>
      <c r="K42" s="93">
        <f t="shared" si="9"/>
        <v>29</v>
      </c>
      <c r="L42" s="93" t="str">
        <f t="shared" si="10"/>
        <v>79 ปี  8 เดือน  29 วัน</v>
      </c>
      <c r="M42" s="38">
        <f t="shared" si="11"/>
        <v>700</v>
      </c>
      <c r="N42" s="30"/>
      <c r="O42" s="297"/>
      <c r="P42" s="4"/>
      <c r="R42" s="114">
        <v>75</v>
      </c>
      <c r="S42" s="96">
        <f>COUNTIF(I95:I131,"75")</f>
        <v>4</v>
      </c>
      <c r="T42" s="108"/>
      <c r="U42" s="113" t="s">
        <v>25</v>
      </c>
      <c r="V42" s="113">
        <f>SUM(V38:V41)</f>
        <v>37</v>
      </c>
      <c r="X42" s="4"/>
    </row>
    <row r="43" spans="1:19" ht="26.25">
      <c r="A43" s="20">
        <f t="shared" si="5"/>
        <v>38</v>
      </c>
      <c r="B43" s="21" t="s">
        <v>31</v>
      </c>
      <c r="C43" s="123" t="s">
        <v>89</v>
      </c>
      <c r="D43" s="124" t="s">
        <v>354</v>
      </c>
      <c r="E43" s="24" t="s">
        <v>97</v>
      </c>
      <c r="F43" s="25">
        <v>1</v>
      </c>
      <c r="G43" s="26">
        <v>3730600574731</v>
      </c>
      <c r="H43" s="27">
        <v>211871</v>
      </c>
      <c r="I43" s="28">
        <f t="shared" si="7"/>
        <v>79</v>
      </c>
      <c r="J43" s="93">
        <f t="shared" si="8"/>
        <v>8</v>
      </c>
      <c r="K43" s="93">
        <f t="shared" si="9"/>
        <v>1</v>
      </c>
      <c r="L43" s="93" t="str">
        <f t="shared" si="10"/>
        <v>79 ปี  8 เดือน  1 วัน</v>
      </c>
      <c r="M43" s="38">
        <f t="shared" si="11"/>
        <v>700</v>
      </c>
      <c r="N43" s="30"/>
      <c r="O43" s="296"/>
      <c r="R43" s="114">
        <v>76</v>
      </c>
      <c r="S43" s="96">
        <f>COUNTIF(I95:I131,"76")</f>
        <v>4</v>
      </c>
    </row>
    <row r="44" spans="1:22" ht="26.25">
      <c r="A44" s="20">
        <f t="shared" si="5"/>
        <v>39</v>
      </c>
      <c r="B44" s="21" t="s">
        <v>30</v>
      </c>
      <c r="C44" s="123" t="s">
        <v>200</v>
      </c>
      <c r="D44" s="124" t="s">
        <v>606</v>
      </c>
      <c r="E44" s="24" t="s">
        <v>905</v>
      </c>
      <c r="F44" s="25">
        <v>1</v>
      </c>
      <c r="G44" s="26">
        <v>3730600575100</v>
      </c>
      <c r="H44" s="27">
        <v>211843</v>
      </c>
      <c r="I44" s="28">
        <f t="shared" si="7"/>
        <v>79</v>
      </c>
      <c r="J44" s="93">
        <f t="shared" si="8"/>
        <v>8</v>
      </c>
      <c r="K44" s="93">
        <f t="shared" si="9"/>
        <v>29</v>
      </c>
      <c r="L44" s="93" t="str">
        <f t="shared" si="10"/>
        <v>79 ปี  8 เดือน  29 วัน</v>
      </c>
      <c r="M44" s="38">
        <f t="shared" si="11"/>
        <v>700</v>
      </c>
      <c r="N44" s="30"/>
      <c r="O44" s="297"/>
      <c r="R44" s="114">
        <v>77</v>
      </c>
      <c r="S44" s="96">
        <f>COUNTIF(I95:I131,"77")</f>
        <v>4</v>
      </c>
      <c r="U44" s="172"/>
      <c r="V44" s="96"/>
    </row>
    <row r="45" spans="1:22" ht="26.25">
      <c r="A45" s="20">
        <f t="shared" si="5"/>
        <v>40</v>
      </c>
      <c r="B45" s="21" t="s">
        <v>31</v>
      </c>
      <c r="C45" s="123" t="s">
        <v>906</v>
      </c>
      <c r="D45" s="124" t="s">
        <v>907</v>
      </c>
      <c r="E45" s="24" t="s">
        <v>868</v>
      </c>
      <c r="F45" s="25">
        <v>1</v>
      </c>
      <c r="G45" s="26">
        <v>3730600575185</v>
      </c>
      <c r="H45" s="27">
        <v>212209</v>
      </c>
      <c r="I45" s="28">
        <f t="shared" si="7"/>
        <v>78</v>
      </c>
      <c r="J45" s="93">
        <f t="shared" si="8"/>
        <v>8</v>
      </c>
      <c r="K45" s="93">
        <f t="shared" si="9"/>
        <v>29</v>
      </c>
      <c r="L45" s="93" t="str">
        <f t="shared" si="10"/>
        <v>78 ปี  8 เดือน  29 วัน</v>
      </c>
      <c r="M45" s="38">
        <f t="shared" si="11"/>
        <v>700</v>
      </c>
      <c r="N45" s="39"/>
      <c r="O45" s="295"/>
      <c r="R45" s="167">
        <v>78</v>
      </c>
      <c r="S45" s="96">
        <f>COUNTIF(I95:I131,"78")</f>
        <v>3</v>
      </c>
      <c r="U45" s="172"/>
      <c r="V45" s="96"/>
    </row>
    <row r="46" spans="1:22" ht="26.25">
      <c r="A46" s="20">
        <f t="shared" si="5"/>
        <v>41</v>
      </c>
      <c r="B46" s="21" t="s">
        <v>31</v>
      </c>
      <c r="C46" s="121" t="s">
        <v>908</v>
      </c>
      <c r="D46" s="122" t="s">
        <v>909</v>
      </c>
      <c r="E46" s="24" t="s">
        <v>910</v>
      </c>
      <c r="F46" s="25">
        <v>1</v>
      </c>
      <c r="G46" s="26">
        <v>3730600575312</v>
      </c>
      <c r="H46" s="27">
        <v>212209</v>
      </c>
      <c r="I46" s="28">
        <f t="shared" si="7"/>
        <v>78</v>
      </c>
      <c r="J46" s="93">
        <f t="shared" si="8"/>
        <v>8</v>
      </c>
      <c r="K46" s="93">
        <f t="shared" si="9"/>
        <v>29</v>
      </c>
      <c r="L46" s="93" t="str">
        <f t="shared" si="10"/>
        <v>78 ปี  8 เดือน  29 วัน</v>
      </c>
      <c r="M46" s="38">
        <f t="shared" si="11"/>
        <v>700</v>
      </c>
      <c r="N46" s="30"/>
      <c r="O46" s="296"/>
      <c r="R46" s="114">
        <v>79</v>
      </c>
      <c r="S46" s="96">
        <f>COUNTIF(I95:I131,"79")</f>
        <v>1</v>
      </c>
      <c r="U46" s="172"/>
      <c r="V46" s="96"/>
    </row>
    <row r="47" spans="1:22" ht="27" thickBot="1">
      <c r="A47" s="20">
        <f t="shared" si="5"/>
        <v>42</v>
      </c>
      <c r="B47" s="21" t="s">
        <v>30</v>
      </c>
      <c r="C47" s="123" t="s">
        <v>911</v>
      </c>
      <c r="D47" s="124" t="s">
        <v>912</v>
      </c>
      <c r="E47" s="24" t="s">
        <v>180</v>
      </c>
      <c r="F47" s="25">
        <v>1</v>
      </c>
      <c r="G47" s="26">
        <v>3730600575452</v>
      </c>
      <c r="H47" s="27">
        <v>213994</v>
      </c>
      <c r="I47" s="28">
        <f t="shared" si="7"/>
        <v>73</v>
      </c>
      <c r="J47" s="93">
        <f t="shared" si="8"/>
        <v>10</v>
      </c>
      <c r="K47" s="93">
        <f t="shared" si="9"/>
        <v>9</v>
      </c>
      <c r="L47" s="93" t="str">
        <f t="shared" si="10"/>
        <v>73 ปี  10 เดือน  9 วัน</v>
      </c>
      <c r="M47" s="38">
        <f t="shared" si="11"/>
        <v>700</v>
      </c>
      <c r="N47" s="30"/>
      <c r="O47" s="297"/>
      <c r="R47" s="464" t="s">
        <v>25</v>
      </c>
      <c r="S47" s="113">
        <f>SUM(S37:S46)</f>
        <v>37</v>
      </c>
      <c r="U47" s="172"/>
      <c r="V47" s="96"/>
    </row>
    <row r="48" spans="1:19" ht="27" thickTop="1">
      <c r="A48" s="20">
        <f t="shared" si="5"/>
        <v>43</v>
      </c>
      <c r="B48" s="21" t="s">
        <v>30</v>
      </c>
      <c r="C48" s="123" t="s">
        <v>35</v>
      </c>
      <c r="D48" s="124" t="s">
        <v>407</v>
      </c>
      <c r="E48" s="24" t="s">
        <v>914</v>
      </c>
      <c r="F48" s="25">
        <v>1</v>
      </c>
      <c r="G48" s="26">
        <v>3730600576441</v>
      </c>
      <c r="H48" s="27">
        <v>212181</v>
      </c>
      <c r="I48" s="55">
        <f t="shared" si="7"/>
        <v>78</v>
      </c>
      <c r="J48" s="94">
        <f t="shared" si="8"/>
        <v>9</v>
      </c>
      <c r="K48" s="94">
        <f t="shared" si="9"/>
        <v>26</v>
      </c>
      <c r="L48" s="94" t="str">
        <f t="shared" si="10"/>
        <v>78 ปี  9 เดือน  26 วัน</v>
      </c>
      <c r="M48" s="38">
        <f t="shared" si="11"/>
        <v>700</v>
      </c>
      <c r="N48" s="30"/>
      <c r="O48" s="297"/>
      <c r="R48" s="172"/>
      <c r="S48" s="96"/>
    </row>
    <row r="49" spans="1:22" ht="26.25">
      <c r="A49" s="20">
        <f t="shared" si="5"/>
        <v>44</v>
      </c>
      <c r="B49" s="21" t="s">
        <v>32</v>
      </c>
      <c r="C49" s="123" t="s">
        <v>915</v>
      </c>
      <c r="D49" s="124" t="s">
        <v>378</v>
      </c>
      <c r="E49" s="24" t="s">
        <v>916</v>
      </c>
      <c r="F49" s="25">
        <v>1</v>
      </c>
      <c r="G49" s="26">
        <v>3730600598886</v>
      </c>
      <c r="H49" s="27">
        <v>212939</v>
      </c>
      <c r="I49" s="55">
        <f t="shared" si="7"/>
        <v>76</v>
      </c>
      <c r="J49" s="94">
        <f t="shared" si="8"/>
        <v>8</v>
      </c>
      <c r="K49" s="94">
        <f t="shared" si="9"/>
        <v>29</v>
      </c>
      <c r="L49" s="94" t="str">
        <f t="shared" si="10"/>
        <v>76 ปี  8 เดือน  29 วัน</v>
      </c>
      <c r="M49" s="38">
        <f t="shared" si="11"/>
        <v>700</v>
      </c>
      <c r="N49" s="30"/>
      <c r="O49" s="297"/>
      <c r="R49" s="111" t="s">
        <v>0</v>
      </c>
      <c r="S49" s="112" t="s">
        <v>22</v>
      </c>
      <c r="T49" s="105"/>
      <c r="U49" s="113" t="s">
        <v>1</v>
      </c>
      <c r="V49" s="113" t="s">
        <v>22</v>
      </c>
    </row>
    <row r="50" spans="1:22" ht="26.25">
      <c r="A50" s="20">
        <f t="shared" si="5"/>
        <v>45</v>
      </c>
      <c r="B50" s="21" t="s">
        <v>31</v>
      </c>
      <c r="C50" s="123" t="s">
        <v>247</v>
      </c>
      <c r="D50" s="124" t="s">
        <v>917</v>
      </c>
      <c r="E50" s="24" t="s">
        <v>918</v>
      </c>
      <c r="F50" s="25">
        <v>1</v>
      </c>
      <c r="G50" s="26">
        <v>3730600577161</v>
      </c>
      <c r="H50" s="27">
        <v>213488</v>
      </c>
      <c r="I50" s="55">
        <f t="shared" si="7"/>
        <v>75</v>
      </c>
      <c r="J50" s="94">
        <f t="shared" si="8"/>
        <v>2</v>
      </c>
      <c r="K50" s="94">
        <f t="shared" si="9"/>
        <v>27</v>
      </c>
      <c r="L50" s="94" t="str">
        <f t="shared" si="10"/>
        <v>75 ปี  2 เดือน  27 วัน</v>
      </c>
      <c r="M50" s="38">
        <f t="shared" si="11"/>
        <v>700</v>
      </c>
      <c r="N50" s="39"/>
      <c r="O50" s="295"/>
      <c r="R50" s="117">
        <v>70</v>
      </c>
      <c r="S50" s="96">
        <f>COUNTIF(I132:I162,"70")</f>
        <v>2</v>
      </c>
      <c r="T50" s="105"/>
      <c r="U50" s="115" t="s">
        <v>2</v>
      </c>
      <c r="V50" s="352">
        <v>0</v>
      </c>
    </row>
    <row r="51" spans="1:23" ht="26.25">
      <c r="A51" s="20">
        <f t="shared" si="5"/>
        <v>46</v>
      </c>
      <c r="B51" s="21" t="s">
        <v>31</v>
      </c>
      <c r="C51" s="22" t="s">
        <v>240</v>
      </c>
      <c r="D51" s="23" t="s">
        <v>274</v>
      </c>
      <c r="E51" s="24" t="s">
        <v>256</v>
      </c>
      <c r="F51" s="25">
        <v>1</v>
      </c>
      <c r="G51" s="26">
        <v>3730600576882</v>
      </c>
      <c r="H51" s="27">
        <v>212673</v>
      </c>
      <c r="I51" s="55">
        <f t="shared" si="7"/>
        <v>77</v>
      </c>
      <c r="J51" s="94">
        <f t="shared" si="8"/>
        <v>5</v>
      </c>
      <c r="K51" s="94">
        <f t="shared" si="9"/>
        <v>20</v>
      </c>
      <c r="L51" s="94" t="str">
        <f t="shared" si="10"/>
        <v>77 ปี  5 เดือน  20 วัน</v>
      </c>
      <c r="M51" s="38">
        <f t="shared" si="11"/>
        <v>700</v>
      </c>
      <c r="N51" s="30"/>
      <c r="O51" s="297"/>
      <c r="R51" s="114">
        <v>71</v>
      </c>
      <c r="S51" s="96">
        <f>COUNTIF(I132:I162,"71")</f>
        <v>4</v>
      </c>
      <c r="T51" s="105"/>
      <c r="U51" s="115" t="s">
        <v>7</v>
      </c>
      <c r="V51" s="352">
        <f>SUM(S50:S59)</f>
        <v>30</v>
      </c>
      <c r="W51" s="101" t="s">
        <v>265</v>
      </c>
    </row>
    <row r="52" spans="1:22" ht="26.25">
      <c r="A52" s="20">
        <f t="shared" si="5"/>
        <v>47</v>
      </c>
      <c r="B52" s="21" t="s">
        <v>30</v>
      </c>
      <c r="C52" s="123" t="s">
        <v>81</v>
      </c>
      <c r="D52" s="124" t="s">
        <v>917</v>
      </c>
      <c r="E52" s="24" t="s">
        <v>919</v>
      </c>
      <c r="F52" s="25">
        <v>1</v>
      </c>
      <c r="G52" s="26">
        <v>3730600577153</v>
      </c>
      <c r="H52" s="27">
        <v>213478</v>
      </c>
      <c r="I52" s="55">
        <f t="shared" si="7"/>
        <v>75</v>
      </c>
      <c r="J52" s="94">
        <f t="shared" si="8"/>
        <v>3</v>
      </c>
      <c r="K52" s="94">
        <f t="shared" si="9"/>
        <v>7</v>
      </c>
      <c r="L52" s="94" t="str">
        <f t="shared" si="10"/>
        <v>75 ปี  3 เดือน  7 วัน</v>
      </c>
      <c r="M52" s="38">
        <f t="shared" si="11"/>
        <v>700</v>
      </c>
      <c r="N52" s="30"/>
      <c r="O52" s="297"/>
      <c r="R52" s="114">
        <v>72</v>
      </c>
      <c r="S52" s="96">
        <f>COUNTIF(I132:I162,"72")</f>
        <v>5</v>
      </c>
      <c r="T52" s="108"/>
      <c r="U52" s="115" t="s">
        <v>8</v>
      </c>
      <c r="V52" s="352">
        <v>0</v>
      </c>
    </row>
    <row r="53" spans="1:22" ht="26.25">
      <c r="A53" s="20">
        <f t="shared" si="5"/>
        <v>48</v>
      </c>
      <c r="B53" s="21" t="s">
        <v>31</v>
      </c>
      <c r="C53" s="123" t="s">
        <v>920</v>
      </c>
      <c r="D53" s="124" t="s">
        <v>921</v>
      </c>
      <c r="E53" s="24" t="s">
        <v>922</v>
      </c>
      <c r="F53" s="25">
        <v>1</v>
      </c>
      <c r="G53" s="26">
        <v>3730600577307</v>
      </c>
      <c r="H53" s="27">
        <v>212030</v>
      </c>
      <c r="I53" s="55">
        <f t="shared" si="7"/>
        <v>79</v>
      </c>
      <c r="J53" s="94">
        <f t="shared" si="8"/>
        <v>2</v>
      </c>
      <c r="K53" s="94">
        <f t="shared" si="9"/>
        <v>24</v>
      </c>
      <c r="L53" s="94" t="str">
        <f t="shared" si="10"/>
        <v>79 ปี  2 เดือน  24 วัน</v>
      </c>
      <c r="M53" s="38">
        <f t="shared" si="11"/>
        <v>700</v>
      </c>
      <c r="N53" s="39"/>
      <c r="O53" s="278"/>
      <c r="R53" s="114">
        <v>73</v>
      </c>
      <c r="S53" s="96">
        <f>COUNTIF(I132:I162,"73")</f>
        <v>2</v>
      </c>
      <c r="T53" s="108"/>
      <c r="U53" s="115" t="s">
        <v>9</v>
      </c>
      <c r="V53" s="352">
        <v>0</v>
      </c>
    </row>
    <row r="54" spans="1:22" ht="26.25">
      <c r="A54" s="20">
        <f t="shared" si="5"/>
        <v>49</v>
      </c>
      <c r="B54" s="21" t="s">
        <v>30</v>
      </c>
      <c r="C54" s="123" t="s">
        <v>924</v>
      </c>
      <c r="D54" s="124" t="s">
        <v>354</v>
      </c>
      <c r="E54" s="24" t="s">
        <v>68</v>
      </c>
      <c r="F54" s="25">
        <v>1</v>
      </c>
      <c r="G54" s="26">
        <v>3730600578389</v>
      </c>
      <c r="H54" s="27">
        <v>213877</v>
      </c>
      <c r="I54" s="55">
        <f t="shared" si="7"/>
        <v>74</v>
      </c>
      <c r="J54" s="94">
        <f t="shared" si="8"/>
        <v>2</v>
      </c>
      <c r="K54" s="94">
        <f t="shared" si="9"/>
        <v>3</v>
      </c>
      <c r="L54" s="94" t="str">
        <f t="shared" si="10"/>
        <v>74 ปี  2 เดือน  3 วัน</v>
      </c>
      <c r="M54" s="38">
        <f t="shared" si="11"/>
        <v>700</v>
      </c>
      <c r="N54" s="30"/>
      <c r="O54" s="297"/>
      <c r="R54" s="114">
        <v>74</v>
      </c>
      <c r="S54" s="96">
        <f>COUNTIF(I132:I162,"74")</f>
        <v>3</v>
      </c>
      <c r="T54" s="108"/>
      <c r="U54" s="113" t="s">
        <v>25</v>
      </c>
      <c r="V54" s="113">
        <f>SUM(V50:V53)</f>
        <v>30</v>
      </c>
    </row>
    <row r="55" spans="1:19" ht="26.25">
      <c r="A55" s="20">
        <f t="shared" si="5"/>
        <v>50</v>
      </c>
      <c r="B55" s="21" t="s">
        <v>30</v>
      </c>
      <c r="C55" s="123" t="s">
        <v>925</v>
      </c>
      <c r="D55" s="124" t="s">
        <v>926</v>
      </c>
      <c r="E55" s="24" t="s">
        <v>69</v>
      </c>
      <c r="F55" s="25">
        <v>1</v>
      </c>
      <c r="G55" s="26">
        <v>3730600577994</v>
      </c>
      <c r="H55" s="27">
        <v>213670</v>
      </c>
      <c r="I55" s="55">
        <f t="shared" si="7"/>
        <v>74</v>
      </c>
      <c r="J55" s="94">
        <f t="shared" si="8"/>
        <v>8</v>
      </c>
      <c r="K55" s="94">
        <f t="shared" si="9"/>
        <v>29</v>
      </c>
      <c r="L55" s="94" t="str">
        <f t="shared" si="10"/>
        <v>74 ปี  8 เดือน  29 วัน</v>
      </c>
      <c r="M55" s="38">
        <f t="shared" si="11"/>
        <v>700</v>
      </c>
      <c r="N55" s="30"/>
      <c r="O55" s="296"/>
      <c r="R55" s="114">
        <v>75</v>
      </c>
      <c r="S55" s="96">
        <f>COUNTIF(I132:I162,"75")</f>
        <v>3</v>
      </c>
    </row>
    <row r="56" spans="1:22" ht="26.25">
      <c r="A56" s="20">
        <f t="shared" si="5"/>
        <v>51</v>
      </c>
      <c r="B56" s="21" t="s">
        <v>30</v>
      </c>
      <c r="C56" s="123" t="s">
        <v>927</v>
      </c>
      <c r="D56" s="124" t="s">
        <v>407</v>
      </c>
      <c r="E56" s="24" t="s">
        <v>928</v>
      </c>
      <c r="F56" s="25">
        <v>1</v>
      </c>
      <c r="G56" s="26">
        <v>3730600578117</v>
      </c>
      <c r="H56" s="27">
        <v>212118</v>
      </c>
      <c r="I56" s="55">
        <f t="shared" si="7"/>
        <v>78</v>
      </c>
      <c r="J56" s="55">
        <f t="shared" si="8"/>
        <v>11</v>
      </c>
      <c r="K56" s="55">
        <f t="shared" si="9"/>
        <v>28</v>
      </c>
      <c r="L56" s="94" t="str">
        <f t="shared" si="10"/>
        <v>78 ปี  11 เดือน  28 วัน</v>
      </c>
      <c r="M56" s="38">
        <f t="shared" si="11"/>
        <v>700</v>
      </c>
      <c r="N56" s="30"/>
      <c r="O56" s="278"/>
      <c r="R56" s="114">
        <v>76</v>
      </c>
      <c r="S56" s="96">
        <f>COUNTIF(I132:I162,"76")</f>
        <v>4</v>
      </c>
      <c r="U56" s="172"/>
      <c r="V56" s="96"/>
    </row>
    <row r="57" spans="1:22" ht="26.25">
      <c r="A57" s="20">
        <f t="shared" si="5"/>
        <v>52</v>
      </c>
      <c r="B57" s="21" t="s">
        <v>31</v>
      </c>
      <c r="C57" s="123" t="s">
        <v>53</v>
      </c>
      <c r="D57" s="124" t="s">
        <v>378</v>
      </c>
      <c r="E57" s="24" t="s">
        <v>745</v>
      </c>
      <c r="F57" s="25">
        <v>1</v>
      </c>
      <c r="G57" s="26">
        <v>3730600578656</v>
      </c>
      <c r="H57" s="27">
        <v>212939</v>
      </c>
      <c r="I57" s="55">
        <f t="shared" si="7"/>
        <v>76</v>
      </c>
      <c r="J57" s="94">
        <f t="shared" si="8"/>
        <v>8</v>
      </c>
      <c r="K57" s="94">
        <f t="shared" si="9"/>
        <v>29</v>
      </c>
      <c r="L57" s="94" t="str">
        <f t="shared" si="10"/>
        <v>76 ปี  8 เดือน  29 วัน</v>
      </c>
      <c r="M57" s="38">
        <f t="shared" si="11"/>
        <v>700</v>
      </c>
      <c r="N57" s="30"/>
      <c r="O57" s="278"/>
      <c r="R57" s="167">
        <v>77</v>
      </c>
      <c r="S57" s="96">
        <f>COUNTIF(I132:I162,"77")</f>
        <v>3</v>
      </c>
      <c r="U57" s="172"/>
      <c r="V57" s="96"/>
    </row>
    <row r="58" spans="1:22" ht="26.25">
      <c r="A58" s="20">
        <f t="shared" si="5"/>
        <v>53</v>
      </c>
      <c r="B58" s="21" t="s">
        <v>31</v>
      </c>
      <c r="C58" s="22" t="s">
        <v>929</v>
      </c>
      <c r="D58" s="23" t="s">
        <v>749</v>
      </c>
      <c r="E58" s="24" t="s">
        <v>930</v>
      </c>
      <c r="F58" s="25">
        <v>1</v>
      </c>
      <c r="G58" s="26">
        <v>3730600580375</v>
      </c>
      <c r="H58" s="27">
        <v>214035</v>
      </c>
      <c r="I58" s="55">
        <f t="shared" si="7"/>
        <v>73</v>
      </c>
      <c r="J58" s="94">
        <f t="shared" si="8"/>
        <v>8</v>
      </c>
      <c r="K58" s="94">
        <f t="shared" si="9"/>
        <v>29</v>
      </c>
      <c r="L58" s="94" t="str">
        <f t="shared" si="10"/>
        <v>73 ปี  8 เดือน  29 วัน</v>
      </c>
      <c r="M58" s="38">
        <f t="shared" si="11"/>
        <v>700</v>
      </c>
      <c r="N58" s="39"/>
      <c r="O58" s="278"/>
      <c r="R58" s="114">
        <v>78</v>
      </c>
      <c r="S58" s="96">
        <f>COUNTIF(I132:I162,"78")</f>
        <v>2</v>
      </c>
      <c r="U58" s="172"/>
      <c r="V58" s="96"/>
    </row>
    <row r="59" spans="1:22" ht="26.25">
      <c r="A59" s="20">
        <f t="shared" si="5"/>
        <v>54</v>
      </c>
      <c r="B59" s="21" t="s">
        <v>31</v>
      </c>
      <c r="C59" s="123" t="s">
        <v>170</v>
      </c>
      <c r="D59" s="124" t="s">
        <v>931</v>
      </c>
      <c r="E59" s="24" t="s">
        <v>127</v>
      </c>
      <c r="F59" s="25">
        <v>1</v>
      </c>
      <c r="G59" s="26">
        <v>3730600580618</v>
      </c>
      <c r="H59" s="27">
        <v>213796</v>
      </c>
      <c r="I59" s="55">
        <f t="shared" si="7"/>
        <v>74</v>
      </c>
      <c r="J59" s="94">
        <f t="shared" si="8"/>
        <v>4</v>
      </c>
      <c r="K59" s="94">
        <f t="shared" si="9"/>
        <v>23</v>
      </c>
      <c r="L59" s="94" t="str">
        <f t="shared" si="10"/>
        <v>74 ปี  4 เดือน  23 วัน</v>
      </c>
      <c r="M59" s="38">
        <f t="shared" si="11"/>
        <v>700</v>
      </c>
      <c r="N59" s="30"/>
      <c r="O59" s="278"/>
      <c r="R59" s="114">
        <v>79</v>
      </c>
      <c r="S59" s="96">
        <f>COUNTIF(I132:I162,"79")</f>
        <v>2</v>
      </c>
      <c r="U59" s="172"/>
      <c r="V59" s="96"/>
    </row>
    <row r="60" spans="1:22" ht="27" thickBot="1">
      <c r="A60" s="20">
        <f t="shared" si="5"/>
        <v>55</v>
      </c>
      <c r="B60" s="21" t="s">
        <v>30</v>
      </c>
      <c r="C60" s="123" t="s">
        <v>206</v>
      </c>
      <c r="D60" s="124" t="s">
        <v>123</v>
      </c>
      <c r="E60" s="24" t="s">
        <v>305</v>
      </c>
      <c r="F60" s="25">
        <v>1</v>
      </c>
      <c r="G60" s="26">
        <v>3730600580626</v>
      </c>
      <c r="H60" s="27">
        <v>213304</v>
      </c>
      <c r="I60" s="55">
        <f t="shared" si="7"/>
        <v>75</v>
      </c>
      <c r="J60" s="94">
        <f t="shared" si="8"/>
        <v>8</v>
      </c>
      <c r="K60" s="94">
        <f t="shared" si="9"/>
        <v>29</v>
      </c>
      <c r="L60" s="94" t="str">
        <f t="shared" si="10"/>
        <v>75 ปี  8 เดือน  29 วัน</v>
      </c>
      <c r="M60" s="38">
        <f t="shared" si="11"/>
        <v>700</v>
      </c>
      <c r="N60" s="39"/>
      <c r="O60" s="278"/>
      <c r="R60" s="464" t="s">
        <v>25</v>
      </c>
      <c r="S60" s="113">
        <f>SUM(S50:S59)</f>
        <v>30</v>
      </c>
      <c r="T60" s="465"/>
      <c r="U60" s="175"/>
      <c r="V60" s="96"/>
    </row>
    <row r="61" spans="1:22" ht="27" thickTop="1">
      <c r="A61" s="20">
        <f t="shared" si="5"/>
        <v>56</v>
      </c>
      <c r="B61" s="21" t="s">
        <v>31</v>
      </c>
      <c r="C61" s="123" t="s">
        <v>514</v>
      </c>
      <c r="D61" s="124" t="s">
        <v>932</v>
      </c>
      <c r="E61" s="24" t="s">
        <v>824</v>
      </c>
      <c r="F61" s="25">
        <v>1</v>
      </c>
      <c r="G61" s="26">
        <v>3730600145181</v>
      </c>
      <c r="H61" s="27">
        <v>213730</v>
      </c>
      <c r="I61" s="55">
        <f t="shared" si="7"/>
        <v>74</v>
      </c>
      <c r="J61" s="94">
        <f t="shared" si="8"/>
        <v>6</v>
      </c>
      <c r="K61" s="94">
        <f t="shared" si="9"/>
        <v>28</v>
      </c>
      <c r="L61" s="94" t="str">
        <f t="shared" si="10"/>
        <v>74 ปี  6 เดือน  28 วัน</v>
      </c>
      <c r="M61" s="38">
        <f t="shared" si="11"/>
        <v>700</v>
      </c>
      <c r="N61" s="39"/>
      <c r="O61" s="296"/>
      <c r="T61" s="105"/>
      <c r="U61" s="476" t="s">
        <v>1</v>
      </c>
      <c r="V61" s="476" t="s">
        <v>22</v>
      </c>
    </row>
    <row r="62" spans="1:22" ht="26.25">
      <c r="A62" s="20">
        <f t="shared" si="5"/>
        <v>57</v>
      </c>
      <c r="B62" s="21" t="s">
        <v>30</v>
      </c>
      <c r="C62" s="22" t="s">
        <v>232</v>
      </c>
      <c r="D62" s="23" t="s">
        <v>278</v>
      </c>
      <c r="E62" s="24" t="s">
        <v>306</v>
      </c>
      <c r="F62" s="25">
        <v>1</v>
      </c>
      <c r="G62" s="26">
        <v>3730600580472</v>
      </c>
      <c r="H62" s="27">
        <v>212295</v>
      </c>
      <c r="I62" s="55">
        <f t="shared" si="7"/>
        <v>78</v>
      </c>
      <c r="J62" s="94">
        <f t="shared" si="8"/>
        <v>6</v>
      </c>
      <c r="K62" s="94">
        <f t="shared" si="9"/>
        <v>2</v>
      </c>
      <c r="L62" s="94" t="str">
        <f t="shared" si="10"/>
        <v>78 ปี  6 เดือน  2 วัน</v>
      </c>
      <c r="M62" s="38">
        <f t="shared" si="11"/>
        <v>700</v>
      </c>
      <c r="N62" s="30"/>
      <c r="O62" s="297"/>
      <c r="R62" s="111" t="s">
        <v>0</v>
      </c>
      <c r="S62" s="112" t="s">
        <v>22</v>
      </c>
      <c r="T62" s="105"/>
      <c r="U62" s="115" t="s">
        <v>2</v>
      </c>
      <c r="V62" s="352">
        <v>0</v>
      </c>
    </row>
    <row r="63" spans="1:23" ht="26.25">
      <c r="A63" s="20">
        <f t="shared" si="5"/>
        <v>58</v>
      </c>
      <c r="B63" s="21" t="s">
        <v>31</v>
      </c>
      <c r="C63" s="123" t="s">
        <v>933</v>
      </c>
      <c r="D63" s="124" t="s">
        <v>934</v>
      </c>
      <c r="E63" s="24" t="s">
        <v>935</v>
      </c>
      <c r="F63" s="25">
        <v>1</v>
      </c>
      <c r="G63" s="26">
        <v>3730600580766</v>
      </c>
      <c r="H63" s="27">
        <v>212814</v>
      </c>
      <c r="I63" s="55">
        <f t="shared" si="7"/>
        <v>77</v>
      </c>
      <c r="J63" s="94">
        <f t="shared" si="8"/>
        <v>1</v>
      </c>
      <c r="K63" s="94">
        <f t="shared" si="9"/>
        <v>1</v>
      </c>
      <c r="L63" s="94" t="str">
        <f t="shared" si="10"/>
        <v>77 ปี  1 เดือน  1 วัน</v>
      </c>
      <c r="M63" s="38">
        <f t="shared" si="11"/>
        <v>700</v>
      </c>
      <c r="N63" s="30"/>
      <c r="O63" s="297"/>
      <c r="R63" s="117">
        <v>70</v>
      </c>
      <c r="S63" s="96">
        <f>COUNTIF(I163:I179,"70")</f>
        <v>1</v>
      </c>
      <c r="T63" s="105"/>
      <c r="U63" s="115" t="s">
        <v>7</v>
      </c>
      <c r="V63" s="352">
        <f>SUM(S63:S72)</f>
        <v>17</v>
      </c>
      <c r="W63" s="101" t="s">
        <v>268</v>
      </c>
    </row>
    <row r="64" spans="1:23" ht="26.25">
      <c r="A64" s="20">
        <f t="shared" si="5"/>
        <v>59</v>
      </c>
      <c r="B64" s="21" t="s">
        <v>30</v>
      </c>
      <c r="C64" s="123" t="s">
        <v>936</v>
      </c>
      <c r="D64" s="124" t="s">
        <v>274</v>
      </c>
      <c r="E64" s="24" t="s">
        <v>234</v>
      </c>
      <c r="F64" s="25">
        <v>1</v>
      </c>
      <c r="G64" s="26">
        <v>3730600581037</v>
      </c>
      <c r="H64" s="27">
        <v>212861</v>
      </c>
      <c r="I64" s="55">
        <f t="shared" si="7"/>
        <v>76</v>
      </c>
      <c r="J64" s="94">
        <f t="shared" si="8"/>
        <v>11</v>
      </c>
      <c r="K64" s="94">
        <f t="shared" si="9"/>
        <v>15</v>
      </c>
      <c r="L64" s="94" t="str">
        <f t="shared" si="10"/>
        <v>76 ปี  11 เดือน  15 วัน</v>
      </c>
      <c r="M64" s="38">
        <f t="shared" si="11"/>
        <v>700</v>
      </c>
      <c r="N64" s="30"/>
      <c r="O64" s="297"/>
      <c r="Q64" s="133"/>
      <c r="R64" s="114">
        <v>71</v>
      </c>
      <c r="S64" s="96">
        <f>COUNTIF(I163:I179,"71")</f>
        <v>0</v>
      </c>
      <c r="T64" s="108"/>
      <c r="U64" s="115" t="s">
        <v>8</v>
      </c>
      <c r="V64" s="352">
        <v>0</v>
      </c>
      <c r="W64" s="119"/>
    </row>
    <row r="65" spans="1:22" ht="26.25">
      <c r="A65" s="20">
        <f t="shared" si="5"/>
        <v>60</v>
      </c>
      <c r="B65" s="21" t="s">
        <v>30</v>
      </c>
      <c r="C65" s="121" t="s">
        <v>937</v>
      </c>
      <c r="D65" s="122" t="s">
        <v>123</v>
      </c>
      <c r="E65" s="24" t="s">
        <v>938</v>
      </c>
      <c r="F65" s="25">
        <v>1</v>
      </c>
      <c r="G65" s="26">
        <v>3730600581401</v>
      </c>
      <c r="H65" s="27">
        <v>212926</v>
      </c>
      <c r="I65" s="55">
        <f t="shared" si="7"/>
        <v>76</v>
      </c>
      <c r="J65" s="94">
        <f t="shared" si="8"/>
        <v>9</v>
      </c>
      <c r="K65" s="94">
        <f t="shared" si="9"/>
        <v>11</v>
      </c>
      <c r="L65" s="94" t="str">
        <f t="shared" si="10"/>
        <v>76 ปี  9 เดือน  11 วัน</v>
      </c>
      <c r="M65" s="38">
        <f t="shared" si="11"/>
        <v>700</v>
      </c>
      <c r="N65" s="30"/>
      <c r="O65" s="296"/>
      <c r="R65" s="114">
        <v>72</v>
      </c>
      <c r="S65" s="96">
        <f>COUNTIF(I163:I179,"72")</f>
        <v>4</v>
      </c>
      <c r="T65" s="108"/>
      <c r="U65" s="115" t="s">
        <v>9</v>
      </c>
      <c r="V65" s="352">
        <v>0</v>
      </c>
    </row>
    <row r="66" spans="1:22" ht="26.25">
      <c r="A66" s="20">
        <f t="shared" si="5"/>
        <v>61</v>
      </c>
      <c r="B66" s="21" t="s">
        <v>31</v>
      </c>
      <c r="C66" s="121" t="s">
        <v>37</v>
      </c>
      <c r="D66" s="122" t="s">
        <v>939</v>
      </c>
      <c r="E66" s="24" t="s">
        <v>940</v>
      </c>
      <c r="F66" s="25">
        <v>1</v>
      </c>
      <c r="G66" s="26">
        <v>3730600581517</v>
      </c>
      <c r="H66" s="27">
        <v>213774</v>
      </c>
      <c r="I66" s="55">
        <f t="shared" si="7"/>
        <v>74</v>
      </c>
      <c r="J66" s="94">
        <f t="shared" si="8"/>
        <v>5</v>
      </c>
      <c r="K66" s="94">
        <f t="shared" si="9"/>
        <v>15</v>
      </c>
      <c r="L66" s="94" t="str">
        <f t="shared" si="10"/>
        <v>74 ปี  5 เดือน  15 วัน</v>
      </c>
      <c r="M66" s="38">
        <f t="shared" si="11"/>
        <v>700</v>
      </c>
      <c r="N66" s="30"/>
      <c r="O66" s="296"/>
      <c r="R66" s="114">
        <v>73</v>
      </c>
      <c r="S66" s="96">
        <f>COUNTIF(I163:I179,"73")</f>
        <v>1</v>
      </c>
      <c r="T66" s="108"/>
      <c r="U66" s="113" t="s">
        <v>25</v>
      </c>
      <c r="V66" s="113">
        <f>SUM(V62:V65)</f>
        <v>17</v>
      </c>
    </row>
    <row r="67" spans="1:19" ht="26.25">
      <c r="A67" s="20">
        <f t="shared" si="5"/>
        <v>62</v>
      </c>
      <c r="B67" s="21" t="s">
        <v>31</v>
      </c>
      <c r="C67" s="123" t="s">
        <v>941</v>
      </c>
      <c r="D67" s="124" t="s">
        <v>942</v>
      </c>
      <c r="E67" s="24" t="s">
        <v>943</v>
      </c>
      <c r="F67" s="25">
        <v>1</v>
      </c>
      <c r="G67" s="26">
        <v>3730600579211</v>
      </c>
      <c r="H67" s="27">
        <v>212209</v>
      </c>
      <c r="I67" s="55">
        <f t="shared" si="7"/>
        <v>78</v>
      </c>
      <c r="J67" s="94">
        <f t="shared" si="8"/>
        <v>8</v>
      </c>
      <c r="K67" s="94">
        <f t="shared" si="9"/>
        <v>29</v>
      </c>
      <c r="L67" s="94" t="str">
        <f aca="true" t="shared" si="13" ref="L67:L73">I67&amp;" ปี  "&amp;J67&amp;" เดือน  "&amp;K67&amp;" วัน"</f>
        <v>78 ปี  8 เดือน  29 วัน</v>
      </c>
      <c r="M67" s="38">
        <f aca="true" t="shared" si="14" ref="M67:M73">IF(I67&lt;=69,600,IF(I67&lt;=79,700,IF(I67&lt;=89,800,IF(I67&gt;=90,1000))))</f>
        <v>700</v>
      </c>
      <c r="N67" s="30"/>
      <c r="O67" s="297"/>
      <c r="P67" s="57"/>
      <c r="Q67" s="133"/>
      <c r="R67" s="114">
        <v>74</v>
      </c>
      <c r="S67" s="96">
        <f>COUNTIF(I163:I179,"74")</f>
        <v>1</v>
      </c>
    </row>
    <row r="68" spans="1:22" ht="26.25">
      <c r="A68" s="20">
        <f t="shared" si="5"/>
        <v>63</v>
      </c>
      <c r="B68" s="21" t="s">
        <v>30</v>
      </c>
      <c r="C68" s="123" t="s">
        <v>944</v>
      </c>
      <c r="D68" s="124" t="s">
        <v>945</v>
      </c>
      <c r="E68" s="24" t="s">
        <v>946</v>
      </c>
      <c r="F68" s="25">
        <v>1</v>
      </c>
      <c r="G68" s="26">
        <v>3100700171774</v>
      </c>
      <c r="H68" s="27">
        <v>213492</v>
      </c>
      <c r="I68" s="55">
        <f t="shared" si="7"/>
        <v>75</v>
      </c>
      <c r="J68" s="94">
        <f t="shared" si="8"/>
        <v>2</v>
      </c>
      <c r="K68" s="94">
        <f t="shared" si="9"/>
        <v>23</v>
      </c>
      <c r="L68" s="94" t="str">
        <f t="shared" si="13"/>
        <v>75 ปี  2 เดือน  23 วัน</v>
      </c>
      <c r="M68" s="38">
        <f t="shared" si="14"/>
        <v>700</v>
      </c>
      <c r="N68" s="30"/>
      <c r="O68" s="297"/>
      <c r="R68" s="114">
        <v>75</v>
      </c>
      <c r="S68" s="96">
        <f>COUNTIF(I163:I179,"75")</f>
        <v>4</v>
      </c>
      <c r="U68" s="172"/>
      <c r="V68" s="96"/>
    </row>
    <row r="69" spans="1:24" s="57" customFormat="1" ht="26.25">
      <c r="A69" s="20">
        <f t="shared" si="5"/>
        <v>64</v>
      </c>
      <c r="B69" s="21" t="s">
        <v>31</v>
      </c>
      <c r="C69" s="123" t="s">
        <v>947</v>
      </c>
      <c r="D69" s="124" t="s">
        <v>449</v>
      </c>
      <c r="E69" s="24" t="s">
        <v>948</v>
      </c>
      <c r="F69" s="25">
        <v>1</v>
      </c>
      <c r="G69" s="26">
        <v>3730400293216</v>
      </c>
      <c r="H69" s="27">
        <v>212939</v>
      </c>
      <c r="I69" s="55">
        <f t="shared" si="7"/>
        <v>76</v>
      </c>
      <c r="J69" s="94">
        <f t="shared" si="8"/>
        <v>8</v>
      </c>
      <c r="K69" s="94">
        <f t="shared" si="9"/>
        <v>29</v>
      </c>
      <c r="L69" s="94" t="str">
        <f t="shared" si="13"/>
        <v>76 ปี  8 เดือน  29 วัน</v>
      </c>
      <c r="M69" s="38">
        <f t="shared" si="14"/>
        <v>700</v>
      </c>
      <c r="N69" s="30"/>
      <c r="O69" s="278"/>
      <c r="P69" s="42"/>
      <c r="Q69" s="101"/>
      <c r="R69" s="114">
        <v>76</v>
      </c>
      <c r="S69" s="96">
        <f>COUNTIF(I163:I179,"76")</f>
        <v>1</v>
      </c>
      <c r="T69" s="101"/>
      <c r="U69" s="172"/>
      <c r="V69" s="96"/>
      <c r="W69" s="101"/>
      <c r="X69" s="42"/>
    </row>
    <row r="70" spans="1:24" ht="26.25">
      <c r="A70" s="20">
        <f t="shared" si="5"/>
        <v>65</v>
      </c>
      <c r="B70" s="21" t="s">
        <v>30</v>
      </c>
      <c r="C70" s="123" t="s">
        <v>43</v>
      </c>
      <c r="D70" s="124" t="s">
        <v>949</v>
      </c>
      <c r="E70" s="24" t="s">
        <v>950</v>
      </c>
      <c r="F70" s="25">
        <v>1</v>
      </c>
      <c r="G70" s="26">
        <v>3720100251577</v>
      </c>
      <c r="H70" s="27">
        <v>212939</v>
      </c>
      <c r="I70" s="55">
        <f t="shared" si="7"/>
        <v>76</v>
      </c>
      <c r="J70" s="94">
        <f t="shared" si="8"/>
        <v>8</v>
      </c>
      <c r="K70" s="94">
        <f t="shared" si="9"/>
        <v>29</v>
      </c>
      <c r="L70" s="94" t="str">
        <f t="shared" si="13"/>
        <v>76 ปี  8 เดือน  29 วัน</v>
      </c>
      <c r="M70" s="38">
        <f t="shared" si="14"/>
        <v>700</v>
      </c>
      <c r="N70" s="39"/>
      <c r="O70" s="297"/>
      <c r="R70" s="98">
        <v>77</v>
      </c>
      <c r="S70" s="166">
        <f>COUNTIF(I163:I179,"77")</f>
        <v>1</v>
      </c>
      <c r="U70" s="172"/>
      <c r="V70" s="96"/>
      <c r="X70" s="57"/>
    </row>
    <row r="71" spans="1:22" ht="26.25">
      <c r="A71" s="20">
        <f aca="true" t="shared" si="15" ref="A71:A134">A70+1</f>
        <v>66</v>
      </c>
      <c r="B71" s="21" t="s">
        <v>30</v>
      </c>
      <c r="C71" s="123" t="s">
        <v>951</v>
      </c>
      <c r="D71" s="124" t="s">
        <v>952</v>
      </c>
      <c r="E71" s="24" t="s">
        <v>953</v>
      </c>
      <c r="F71" s="25">
        <v>1</v>
      </c>
      <c r="G71" s="26">
        <v>3101801298371</v>
      </c>
      <c r="H71" s="27">
        <v>212963</v>
      </c>
      <c r="I71" s="55">
        <f t="shared" si="7"/>
        <v>76</v>
      </c>
      <c r="J71" s="94">
        <f t="shared" si="8"/>
        <v>8</v>
      </c>
      <c r="K71" s="94">
        <f t="shared" si="9"/>
        <v>5</v>
      </c>
      <c r="L71" s="94" t="str">
        <f t="shared" si="13"/>
        <v>76 ปี  8 เดือน  5 วัน</v>
      </c>
      <c r="M71" s="38">
        <f t="shared" si="14"/>
        <v>700</v>
      </c>
      <c r="N71" s="30"/>
      <c r="O71" s="278"/>
      <c r="Q71" s="133">
        <f>SUM(M24:M75)</f>
        <v>35700</v>
      </c>
      <c r="R71" s="114">
        <v>78</v>
      </c>
      <c r="S71" s="96">
        <f>COUNTIF(I163:I179,"78")</f>
        <v>1</v>
      </c>
      <c r="U71" s="172"/>
      <c r="V71" s="96"/>
    </row>
    <row r="72" spans="1:19" ht="26.25">
      <c r="A72" s="20">
        <f t="shared" si="15"/>
        <v>67</v>
      </c>
      <c r="B72" s="21" t="s">
        <v>31</v>
      </c>
      <c r="C72" s="123" t="s">
        <v>46</v>
      </c>
      <c r="D72" s="124" t="s">
        <v>1525</v>
      </c>
      <c r="E72" s="24" t="s">
        <v>959</v>
      </c>
      <c r="F72" s="25">
        <v>1</v>
      </c>
      <c r="G72" s="26">
        <v>3100800795133</v>
      </c>
      <c r="H72" s="27">
        <v>212574</v>
      </c>
      <c r="I72" s="55">
        <f t="shared" si="7"/>
        <v>77</v>
      </c>
      <c r="J72" s="94">
        <f t="shared" si="8"/>
        <v>8</v>
      </c>
      <c r="K72" s="94">
        <f t="shared" si="9"/>
        <v>29</v>
      </c>
      <c r="L72" s="94" t="str">
        <f t="shared" si="13"/>
        <v>77 ปี  8 เดือน  29 วัน</v>
      </c>
      <c r="M72" s="38">
        <f t="shared" si="14"/>
        <v>700</v>
      </c>
      <c r="N72" s="30"/>
      <c r="O72" s="297"/>
      <c r="Q72" s="133"/>
      <c r="R72" s="114">
        <v>79</v>
      </c>
      <c r="S72" s="96">
        <f>COUNTIF(I163:I179,"79")</f>
        <v>3</v>
      </c>
    </row>
    <row r="73" spans="1:19" ht="27" thickBot="1">
      <c r="A73" s="20">
        <f t="shared" si="15"/>
        <v>68</v>
      </c>
      <c r="B73" s="21" t="s">
        <v>31</v>
      </c>
      <c r="C73" s="22" t="s">
        <v>960</v>
      </c>
      <c r="D73" s="23" t="s">
        <v>961</v>
      </c>
      <c r="E73" s="24" t="s">
        <v>962</v>
      </c>
      <c r="F73" s="25">
        <v>1</v>
      </c>
      <c r="G73" s="26">
        <v>3120300113475</v>
      </c>
      <c r="H73" s="27">
        <v>213304</v>
      </c>
      <c r="I73" s="55">
        <f t="shared" si="7"/>
        <v>75</v>
      </c>
      <c r="J73" s="94">
        <f t="shared" si="8"/>
        <v>8</v>
      </c>
      <c r="K73" s="94">
        <f t="shared" si="9"/>
        <v>29</v>
      </c>
      <c r="L73" s="94" t="str">
        <f t="shared" si="13"/>
        <v>75 ปี  8 เดือน  29 วัน</v>
      </c>
      <c r="M73" s="38">
        <f t="shared" si="14"/>
        <v>700</v>
      </c>
      <c r="N73" s="30"/>
      <c r="O73" s="297"/>
      <c r="R73" s="464" t="s">
        <v>25</v>
      </c>
      <c r="S73" s="113">
        <f>SUM(S63:S72)</f>
        <v>17</v>
      </c>
    </row>
    <row r="74" spans="1:20" ht="30" thickTop="1">
      <c r="A74" s="200"/>
      <c r="B74" s="466"/>
      <c r="C74" s="467" t="s">
        <v>897</v>
      </c>
      <c r="D74" s="468" t="s">
        <v>957</v>
      </c>
      <c r="E74" s="469" t="s">
        <v>958</v>
      </c>
      <c r="F74" s="470">
        <v>1</v>
      </c>
      <c r="G74" s="471">
        <v>3102200704007</v>
      </c>
      <c r="H74" s="472">
        <v>213670</v>
      </c>
      <c r="I74" s="454">
        <v>0</v>
      </c>
      <c r="J74" s="454">
        <f t="shared" si="8"/>
        <v>8</v>
      </c>
      <c r="K74" s="454">
        <f t="shared" si="9"/>
        <v>29</v>
      </c>
      <c r="L74" s="454" t="str">
        <f t="shared" si="10"/>
        <v>0 ปี  8 เดือน  29 วัน</v>
      </c>
      <c r="M74" s="473">
        <v>0</v>
      </c>
      <c r="N74" s="474"/>
      <c r="O74" s="475" t="s">
        <v>1394</v>
      </c>
      <c r="Q74" s="490" t="s">
        <v>1393</v>
      </c>
      <c r="R74" s="490"/>
      <c r="S74" s="490"/>
      <c r="T74" s="490"/>
    </row>
    <row r="75" spans="1:15" ht="26.25">
      <c r="A75" s="20">
        <v>69</v>
      </c>
      <c r="B75" s="21" t="s">
        <v>30</v>
      </c>
      <c r="C75" s="22" t="s">
        <v>963</v>
      </c>
      <c r="D75" s="23" t="s">
        <v>964</v>
      </c>
      <c r="E75" s="24" t="s">
        <v>965</v>
      </c>
      <c r="F75" s="25">
        <v>1</v>
      </c>
      <c r="G75" s="26">
        <v>3102000965486</v>
      </c>
      <c r="H75" s="27">
        <v>213344</v>
      </c>
      <c r="I75" s="55">
        <f t="shared" si="7"/>
        <v>75</v>
      </c>
      <c r="J75" s="94">
        <f t="shared" si="8"/>
        <v>7</v>
      </c>
      <c r="K75" s="94">
        <f t="shared" si="9"/>
        <v>20</v>
      </c>
      <c r="L75" s="94" t="str">
        <f aca="true" t="shared" si="16" ref="L75:L106">I75&amp;" ปี  "&amp;J75&amp;" เดือน  "&amp;K75&amp;" วัน"</f>
        <v>75 ปี  7 เดือน  20 วัน</v>
      </c>
      <c r="M75" s="38">
        <f aca="true" t="shared" si="17" ref="M75:M106">IF(I75&lt;=69,600,IF(I75&lt;=79,700,IF(I75&lt;=89,800,IF(I75&gt;=90,1000))))</f>
        <v>700</v>
      </c>
      <c r="N75" s="30"/>
      <c r="O75" s="297"/>
    </row>
    <row r="76" spans="1:22" ht="26.25">
      <c r="A76" s="20">
        <f t="shared" si="15"/>
        <v>70</v>
      </c>
      <c r="B76" s="21" t="s">
        <v>31</v>
      </c>
      <c r="C76" s="22" t="s">
        <v>159</v>
      </c>
      <c r="D76" s="23" t="s">
        <v>86</v>
      </c>
      <c r="E76" s="24" t="s">
        <v>966</v>
      </c>
      <c r="F76" s="25">
        <v>1</v>
      </c>
      <c r="G76" s="26">
        <v>3102001406421</v>
      </c>
      <c r="H76" s="27">
        <v>212460</v>
      </c>
      <c r="I76" s="55">
        <f t="shared" si="7"/>
        <v>78</v>
      </c>
      <c r="J76" s="94">
        <f t="shared" si="8"/>
        <v>0</v>
      </c>
      <c r="K76" s="94">
        <f t="shared" si="9"/>
        <v>21</v>
      </c>
      <c r="L76" s="94" t="str">
        <f t="shared" si="16"/>
        <v>78 ปี  0 เดือน  21 วัน</v>
      </c>
      <c r="M76" s="38">
        <f t="shared" si="17"/>
        <v>700</v>
      </c>
      <c r="N76" s="30"/>
      <c r="O76" s="297"/>
      <c r="R76" s="111" t="s">
        <v>0</v>
      </c>
      <c r="S76" s="112" t="s">
        <v>22</v>
      </c>
      <c r="T76" s="105"/>
      <c r="U76" s="113" t="s">
        <v>1</v>
      </c>
      <c r="V76" s="113" t="s">
        <v>22</v>
      </c>
    </row>
    <row r="77" spans="1:22" ht="26.25">
      <c r="A77" s="20">
        <f t="shared" si="15"/>
        <v>71</v>
      </c>
      <c r="B77" s="21" t="s">
        <v>31</v>
      </c>
      <c r="C77" s="22" t="s">
        <v>967</v>
      </c>
      <c r="D77" s="23" t="s">
        <v>968</v>
      </c>
      <c r="E77" s="24" t="s">
        <v>969</v>
      </c>
      <c r="F77" s="25">
        <v>1</v>
      </c>
      <c r="G77" s="26">
        <v>3800100944601</v>
      </c>
      <c r="H77" s="27">
        <v>212939</v>
      </c>
      <c r="I77" s="55">
        <f t="shared" si="7"/>
        <v>76</v>
      </c>
      <c r="J77" s="94">
        <f t="shared" si="8"/>
        <v>8</v>
      </c>
      <c r="K77" s="94">
        <f t="shared" si="9"/>
        <v>29</v>
      </c>
      <c r="L77" s="94" t="str">
        <f t="shared" si="16"/>
        <v>76 ปี  8 เดือน  29 วัน</v>
      </c>
      <c r="M77" s="38">
        <f t="shared" si="17"/>
        <v>700</v>
      </c>
      <c r="N77" s="30"/>
      <c r="O77" s="296" t="s">
        <v>1542</v>
      </c>
      <c r="R77" s="117">
        <v>70</v>
      </c>
      <c r="S77" s="96">
        <f>COUNTIF(I180:I205,"70")</f>
        <v>2</v>
      </c>
      <c r="T77" s="105"/>
      <c r="U77" s="115" t="s">
        <v>2</v>
      </c>
      <c r="V77" s="352">
        <v>0</v>
      </c>
    </row>
    <row r="78" spans="1:23" ht="26.25">
      <c r="A78" s="20">
        <f t="shared" si="15"/>
        <v>72</v>
      </c>
      <c r="B78" s="21" t="s">
        <v>30</v>
      </c>
      <c r="C78" s="123" t="s">
        <v>972</v>
      </c>
      <c r="D78" s="124" t="s">
        <v>401</v>
      </c>
      <c r="E78" s="24" t="s">
        <v>121</v>
      </c>
      <c r="F78" s="25">
        <v>1</v>
      </c>
      <c r="G78" s="26">
        <v>3102000919387</v>
      </c>
      <c r="H78" s="27">
        <v>212836</v>
      </c>
      <c r="I78" s="28">
        <f aca="true" t="shared" si="18" ref="I78:I141">DATEDIF(H78,$S$21,"Y")</f>
        <v>77</v>
      </c>
      <c r="J78" s="93">
        <f aca="true" t="shared" si="19" ref="J78:J141">DATEDIF(H78,$S$21,"YM")</f>
        <v>0</v>
      </c>
      <c r="K78" s="93">
        <f aca="true" t="shared" si="20" ref="K78:K141">DATEDIF(H78,$S$21,"MD")</f>
        <v>10</v>
      </c>
      <c r="L78" s="93" t="str">
        <f t="shared" si="16"/>
        <v>77 ปี  0 เดือน  10 วัน</v>
      </c>
      <c r="M78" s="38">
        <f t="shared" si="17"/>
        <v>700</v>
      </c>
      <c r="N78" s="30"/>
      <c r="O78" s="296"/>
      <c r="Q78" s="119"/>
      <c r="R78" s="114">
        <v>71</v>
      </c>
      <c r="S78" s="96">
        <f>COUNTIF(I180:I205,"71")</f>
        <v>2</v>
      </c>
      <c r="T78" s="105"/>
      <c r="U78" s="115" t="s">
        <v>7</v>
      </c>
      <c r="V78" s="352">
        <f>SUM(S77:S86)</f>
        <v>25</v>
      </c>
      <c r="W78" s="101" t="s">
        <v>1179</v>
      </c>
    </row>
    <row r="79" spans="1:22" ht="26.25">
      <c r="A79" s="20">
        <f t="shared" si="15"/>
        <v>73</v>
      </c>
      <c r="B79" s="21" t="s">
        <v>31</v>
      </c>
      <c r="C79" s="22" t="s">
        <v>304</v>
      </c>
      <c r="D79" s="23" t="s">
        <v>973</v>
      </c>
      <c r="E79" s="24" t="s">
        <v>974</v>
      </c>
      <c r="F79" s="25">
        <v>1</v>
      </c>
      <c r="G79" s="26">
        <v>3730101476998</v>
      </c>
      <c r="H79" s="27">
        <v>212574</v>
      </c>
      <c r="I79" s="55">
        <f t="shared" si="18"/>
        <v>77</v>
      </c>
      <c r="J79" s="94">
        <f t="shared" si="19"/>
        <v>8</v>
      </c>
      <c r="K79" s="94">
        <f t="shared" si="20"/>
        <v>29</v>
      </c>
      <c r="L79" s="94" t="str">
        <f t="shared" si="16"/>
        <v>77 ปี  8 เดือน  29 วัน</v>
      </c>
      <c r="M79" s="38">
        <f t="shared" si="17"/>
        <v>700</v>
      </c>
      <c r="N79" s="30"/>
      <c r="O79" s="296"/>
      <c r="R79" s="114">
        <v>72</v>
      </c>
      <c r="S79" s="96">
        <f>COUNTIF(I180:I205,"72")</f>
        <v>2</v>
      </c>
      <c r="T79" s="108"/>
      <c r="U79" s="115" t="s">
        <v>8</v>
      </c>
      <c r="V79" s="352">
        <v>0</v>
      </c>
    </row>
    <row r="80" spans="1:22" ht="26.25">
      <c r="A80" s="20">
        <f t="shared" si="15"/>
        <v>74</v>
      </c>
      <c r="B80" s="21" t="s">
        <v>31</v>
      </c>
      <c r="C80" s="22" t="s">
        <v>50</v>
      </c>
      <c r="D80" s="23" t="s">
        <v>976</v>
      </c>
      <c r="E80" s="24" t="s">
        <v>977</v>
      </c>
      <c r="F80" s="25">
        <v>1</v>
      </c>
      <c r="G80" s="26">
        <v>3101203360103</v>
      </c>
      <c r="H80" s="27">
        <v>214035</v>
      </c>
      <c r="I80" s="55">
        <f t="shared" si="18"/>
        <v>73</v>
      </c>
      <c r="J80" s="94">
        <f t="shared" si="19"/>
        <v>8</v>
      </c>
      <c r="K80" s="94">
        <f t="shared" si="20"/>
        <v>29</v>
      </c>
      <c r="L80" s="94" t="str">
        <f t="shared" si="16"/>
        <v>73 ปี  8 เดือน  29 วัน</v>
      </c>
      <c r="M80" s="38">
        <f t="shared" si="17"/>
        <v>700</v>
      </c>
      <c r="N80" s="30"/>
      <c r="O80" s="296"/>
      <c r="R80" s="114">
        <v>73</v>
      </c>
      <c r="S80" s="96">
        <f>COUNTIF(I180:I205,"73")</f>
        <v>0</v>
      </c>
      <c r="T80" s="108"/>
      <c r="U80" s="115" t="s">
        <v>9</v>
      </c>
      <c r="V80" s="352">
        <f>SUM(S105:S114)</f>
        <v>0</v>
      </c>
    </row>
    <row r="81" spans="1:23" ht="26.25">
      <c r="A81" s="20">
        <f t="shared" si="15"/>
        <v>75</v>
      </c>
      <c r="B81" s="21" t="s">
        <v>31</v>
      </c>
      <c r="C81" s="123" t="s">
        <v>978</v>
      </c>
      <c r="D81" s="124" t="s">
        <v>979</v>
      </c>
      <c r="E81" s="24" t="s">
        <v>980</v>
      </c>
      <c r="F81" s="25">
        <v>1</v>
      </c>
      <c r="G81" s="26">
        <v>3740300255720</v>
      </c>
      <c r="H81" s="27">
        <v>212574</v>
      </c>
      <c r="I81" s="55">
        <f t="shared" si="18"/>
        <v>77</v>
      </c>
      <c r="J81" s="94">
        <f t="shared" si="19"/>
        <v>8</v>
      </c>
      <c r="K81" s="94">
        <f t="shared" si="20"/>
        <v>29</v>
      </c>
      <c r="L81" s="94" t="str">
        <f t="shared" si="16"/>
        <v>77 ปี  8 เดือน  29 วัน</v>
      </c>
      <c r="M81" s="38">
        <f t="shared" si="17"/>
        <v>700</v>
      </c>
      <c r="N81" s="30"/>
      <c r="O81" s="296"/>
      <c r="R81" s="114">
        <v>74</v>
      </c>
      <c r="S81" s="96">
        <f>COUNTIF(I180:I205,"74")</f>
        <v>3</v>
      </c>
      <c r="T81" s="108"/>
      <c r="U81" s="113" t="s">
        <v>25</v>
      </c>
      <c r="V81" s="113">
        <f>SUM(V77:V80)</f>
        <v>25</v>
      </c>
      <c r="W81" s="119"/>
    </row>
    <row r="82" spans="1:23" ht="26.25">
      <c r="A82" s="20">
        <f t="shared" si="15"/>
        <v>76</v>
      </c>
      <c r="B82" s="21" t="s">
        <v>30</v>
      </c>
      <c r="C82" s="22" t="s">
        <v>981</v>
      </c>
      <c r="D82" s="23" t="s">
        <v>982</v>
      </c>
      <c r="E82" s="24" t="s">
        <v>983</v>
      </c>
      <c r="F82" s="25">
        <v>1</v>
      </c>
      <c r="G82" s="26">
        <v>3101800994994</v>
      </c>
      <c r="H82" s="27">
        <v>213760</v>
      </c>
      <c r="I82" s="55">
        <f t="shared" si="18"/>
        <v>74</v>
      </c>
      <c r="J82" s="94">
        <f t="shared" si="19"/>
        <v>5</v>
      </c>
      <c r="K82" s="94">
        <f t="shared" si="20"/>
        <v>29</v>
      </c>
      <c r="L82" s="94" t="str">
        <f t="shared" si="16"/>
        <v>74 ปี  5 เดือน  29 วัน</v>
      </c>
      <c r="M82" s="38">
        <f t="shared" si="17"/>
        <v>700</v>
      </c>
      <c r="N82" s="30"/>
      <c r="O82" s="296"/>
      <c r="R82" s="114">
        <v>75</v>
      </c>
      <c r="S82" s="96">
        <f>COUNTIF(I180:I205,"75")</f>
        <v>4</v>
      </c>
      <c r="W82" s="119"/>
    </row>
    <row r="83" spans="1:23" ht="26.25">
      <c r="A83" s="20">
        <f t="shared" si="15"/>
        <v>77</v>
      </c>
      <c r="B83" s="21" t="s">
        <v>31</v>
      </c>
      <c r="C83" s="22" t="s">
        <v>984</v>
      </c>
      <c r="D83" s="23" t="s">
        <v>985</v>
      </c>
      <c r="E83" s="24" t="s">
        <v>986</v>
      </c>
      <c r="F83" s="25">
        <v>1</v>
      </c>
      <c r="G83" s="26">
        <v>5730601039615</v>
      </c>
      <c r="H83" s="27">
        <v>212209</v>
      </c>
      <c r="I83" s="55">
        <f t="shared" si="18"/>
        <v>78</v>
      </c>
      <c r="J83" s="94">
        <f t="shared" si="19"/>
        <v>8</v>
      </c>
      <c r="K83" s="94">
        <f t="shared" si="20"/>
        <v>29</v>
      </c>
      <c r="L83" s="94" t="str">
        <f t="shared" si="16"/>
        <v>78 ปี  8 เดือน  29 วัน</v>
      </c>
      <c r="M83" s="38">
        <f t="shared" si="17"/>
        <v>700</v>
      </c>
      <c r="N83" s="39"/>
      <c r="O83" s="278"/>
      <c r="R83" s="114">
        <v>76</v>
      </c>
      <c r="S83" s="96">
        <f>COUNTIF(I180:I205,"76")</f>
        <v>4</v>
      </c>
      <c r="U83" s="172"/>
      <c r="V83" s="96"/>
      <c r="W83" s="119"/>
    </row>
    <row r="84" spans="1:23" ht="26.25">
      <c r="A84" s="20">
        <f t="shared" si="15"/>
        <v>78</v>
      </c>
      <c r="B84" s="21" t="s">
        <v>31</v>
      </c>
      <c r="C84" s="22" t="s">
        <v>987</v>
      </c>
      <c r="D84" s="23" t="s">
        <v>988</v>
      </c>
      <c r="E84" s="24" t="s">
        <v>989</v>
      </c>
      <c r="F84" s="25">
        <v>1</v>
      </c>
      <c r="G84" s="26">
        <v>3100800152496</v>
      </c>
      <c r="H84" s="27">
        <v>212574</v>
      </c>
      <c r="I84" s="55">
        <f t="shared" si="18"/>
        <v>77</v>
      </c>
      <c r="J84" s="94">
        <f t="shared" si="19"/>
        <v>8</v>
      </c>
      <c r="K84" s="94">
        <f t="shared" si="20"/>
        <v>29</v>
      </c>
      <c r="L84" s="94" t="str">
        <f t="shared" si="16"/>
        <v>77 ปี  8 เดือน  29 วัน</v>
      </c>
      <c r="M84" s="38">
        <f t="shared" si="17"/>
        <v>700</v>
      </c>
      <c r="N84" s="30"/>
      <c r="O84" s="296"/>
      <c r="R84" s="98">
        <v>77</v>
      </c>
      <c r="S84" s="166">
        <f>COUNTIF(I180:I205,"77")</f>
        <v>2</v>
      </c>
      <c r="U84" s="172"/>
      <c r="V84" s="96"/>
      <c r="W84" s="119"/>
    </row>
    <row r="85" spans="1:23" ht="26.25">
      <c r="A85" s="20">
        <f t="shared" si="15"/>
        <v>79</v>
      </c>
      <c r="B85" s="21" t="s">
        <v>31</v>
      </c>
      <c r="C85" s="22" t="s">
        <v>84</v>
      </c>
      <c r="D85" s="23" t="s">
        <v>990</v>
      </c>
      <c r="E85" s="24" t="s">
        <v>991</v>
      </c>
      <c r="F85" s="25">
        <v>1</v>
      </c>
      <c r="G85" s="26">
        <v>3102101736211</v>
      </c>
      <c r="H85" s="27">
        <v>211938</v>
      </c>
      <c r="I85" s="55">
        <f t="shared" si="18"/>
        <v>79</v>
      </c>
      <c r="J85" s="94">
        <f t="shared" si="19"/>
        <v>5</v>
      </c>
      <c r="K85" s="94">
        <f t="shared" si="20"/>
        <v>25</v>
      </c>
      <c r="L85" s="94" t="str">
        <f t="shared" si="16"/>
        <v>79 ปี  5 เดือน  25 วัน</v>
      </c>
      <c r="M85" s="38">
        <f t="shared" si="17"/>
        <v>700</v>
      </c>
      <c r="N85" s="30"/>
      <c r="O85" s="296"/>
      <c r="Q85" s="104"/>
      <c r="R85" s="114">
        <v>78</v>
      </c>
      <c r="S85" s="96">
        <f>COUNTIF(I180:I205,"78")</f>
        <v>4</v>
      </c>
      <c r="U85" s="172"/>
      <c r="V85" s="96"/>
      <c r="W85" s="120"/>
    </row>
    <row r="86" spans="1:23" ht="26.25">
      <c r="A86" s="20">
        <f t="shared" si="15"/>
        <v>80</v>
      </c>
      <c r="B86" s="21" t="s">
        <v>32</v>
      </c>
      <c r="C86" s="22" t="s">
        <v>993</v>
      </c>
      <c r="D86" s="23" t="s">
        <v>994</v>
      </c>
      <c r="E86" s="24" t="s">
        <v>995</v>
      </c>
      <c r="F86" s="25">
        <v>1</v>
      </c>
      <c r="G86" s="26">
        <v>3451100642804</v>
      </c>
      <c r="H86" s="27">
        <v>212209</v>
      </c>
      <c r="I86" s="55">
        <f t="shared" si="18"/>
        <v>78</v>
      </c>
      <c r="J86" s="94">
        <f t="shared" si="19"/>
        <v>8</v>
      </c>
      <c r="K86" s="94">
        <f t="shared" si="20"/>
        <v>29</v>
      </c>
      <c r="L86" s="94" t="str">
        <f t="shared" si="16"/>
        <v>78 ปี  8 เดือน  29 วัน</v>
      </c>
      <c r="M86" s="38">
        <f t="shared" si="17"/>
        <v>700</v>
      </c>
      <c r="N86" s="30"/>
      <c r="O86" s="296"/>
      <c r="R86" s="114">
        <v>79</v>
      </c>
      <c r="S86" s="96">
        <f>COUNTIF(I180:I205,"79")</f>
        <v>2</v>
      </c>
      <c r="U86" s="172"/>
      <c r="V86" s="96"/>
      <c r="W86" s="120"/>
    </row>
    <row r="87" spans="1:23" ht="27" thickBot="1">
      <c r="A87" s="20">
        <f t="shared" si="15"/>
        <v>81</v>
      </c>
      <c r="B87" s="21" t="s">
        <v>31</v>
      </c>
      <c r="C87" s="123" t="s">
        <v>996</v>
      </c>
      <c r="D87" s="124" t="s">
        <v>997</v>
      </c>
      <c r="E87" s="24" t="s">
        <v>671</v>
      </c>
      <c r="F87" s="25">
        <v>1</v>
      </c>
      <c r="G87" s="26">
        <v>3720100756075</v>
      </c>
      <c r="H87" s="27">
        <v>211981</v>
      </c>
      <c r="I87" s="55">
        <f t="shared" si="18"/>
        <v>79</v>
      </c>
      <c r="J87" s="94">
        <f t="shared" si="19"/>
        <v>4</v>
      </c>
      <c r="K87" s="94">
        <f t="shared" si="20"/>
        <v>12</v>
      </c>
      <c r="L87" s="94" t="str">
        <f t="shared" si="16"/>
        <v>79 ปี  4 เดือน  12 วัน</v>
      </c>
      <c r="M87" s="38">
        <f t="shared" si="17"/>
        <v>700</v>
      </c>
      <c r="N87" s="39"/>
      <c r="O87" s="296"/>
      <c r="R87" s="464" t="s">
        <v>25</v>
      </c>
      <c r="S87" s="113">
        <f>SUM(S77:S86)</f>
        <v>25</v>
      </c>
      <c r="T87" s="465"/>
      <c r="U87" s="175"/>
      <c r="V87" s="96"/>
      <c r="W87" s="120"/>
    </row>
    <row r="88" spans="1:24" s="57" customFormat="1" ht="27" thickTop="1">
      <c r="A88" s="20">
        <f t="shared" si="15"/>
        <v>82</v>
      </c>
      <c r="B88" s="21" t="s">
        <v>31</v>
      </c>
      <c r="C88" s="22" t="s">
        <v>242</v>
      </c>
      <c r="D88" s="23" t="s">
        <v>1000</v>
      </c>
      <c r="E88" s="24" t="s">
        <v>1001</v>
      </c>
      <c r="F88" s="25">
        <v>1</v>
      </c>
      <c r="G88" s="26">
        <v>3102002658017</v>
      </c>
      <c r="H88" s="27">
        <v>211843</v>
      </c>
      <c r="I88" s="55">
        <f t="shared" si="18"/>
        <v>79</v>
      </c>
      <c r="J88" s="94">
        <f t="shared" si="19"/>
        <v>8</v>
      </c>
      <c r="K88" s="94">
        <f t="shared" si="20"/>
        <v>29</v>
      </c>
      <c r="L88" s="94" t="str">
        <f t="shared" si="16"/>
        <v>79 ปี  8 เดือน  29 วัน</v>
      </c>
      <c r="M88" s="38">
        <f t="shared" si="17"/>
        <v>700</v>
      </c>
      <c r="N88" s="30"/>
      <c r="O88" s="296"/>
      <c r="P88" s="42"/>
      <c r="Q88" s="107"/>
      <c r="T88" s="105"/>
      <c r="U88" s="113" t="s">
        <v>1</v>
      </c>
      <c r="V88" s="113" t="s">
        <v>22</v>
      </c>
      <c r="W88" s="109"/>
      <c r="X88" s="42"/>
    </row>
    <row r="89" spans="1:24" s="57" customFormat="1" ht="26.25">
      <c r="A89" s="20">
        <f t="shared" si="15"/>
        <v>83</v>
      </c>
      <c r="B89" s="21" t="s">
        <v>30</v>
      </c>
      <c r="C89" s="22" t="s">
        <v>1002</v>
      </c>
      <c r="D89" s="23" t="s">
        <v>522</v>
      </c>
      <c r="E89" s="24" t="s">
        <v>523</v>
      </c>
      <c r="F89" s="25">
        <v>1</v>
      </c>
      <c r="G89" s="26">
        <v>3100202791878</v>
      </c>
      <c r="H89" s="27">
        <v>213781</v>
      </c>
      <c r="I89" s="55">
        <f t="shared" si="18"/>
        <v>74</v>
      </c>
      <c r="J89" s="94">
        <f t="shared" si="19"/>
        <v>5</v>
      </c>
      <c r="K89" s="94">
        <f t="shared" si="20"/>
        <v>8</v>
      </c>
      <c r="L89" s="94" t="str">
        <f t="shared" si="16"/>
        <v>74 ปี  5 เดือน  8 วัน</v>
      </c>
      <c r="M89" s="38">
        <f t="shared" si="17"/>
        <v>700</v>
      </c>
      <c r="N89" s="30"/>
      <c r="O89" s="296"/>
      <c r="P89" s="42"/>
      <c r="Q89" s="110"/>
      <c r="R89" s="111" t="s">
        <v>0</v>
      </c>
      <c r="S89" s="112" t="s">
        <v>22</v>
      </c>
      <c r="T89" s="105"/>
      <c r="U89" s="115" t="s">
        <v>2</v>
      </c>
      <c r="V89" s="352">
        <v>0</v>
      </c>
      <c r="W89" s="109"/>
      <c r="X89" s="42"/>
    </row>
    <row r="90" spans="1:24" s="57" customFormat="1" ht="26.25">
      <c r="A90" s="20">
        <f t="shared" si="15"/>
        <v>84</v>
      </c>
      <c r="B90" s="21" t="s">
        <v>32</v>
      </c>
      <c r="C90" s="22" t="s">
        <v>1300</v>
      </c>
      <c r="D90" s="23" t="s">
        <v>1301</v>
      </c>
      <c r="E90" s="24" t="s">
        <v>1302</v>
      </c>
      <c r="F90" s="25" t="s">
        <v>1199</v>
      </c>
      <c r="G90" s="26" t="s">
        <v>1303</v>
      </c>
      <c r="H90" s="27">
        <v>213670</v>
      </c>
      <c r="I90" s="28">
        <f t="shared" si="18"/>
        <v>74</v>
      </c>
      <c r="J90" s="93">
        <f t="shared" si="19"/>
        <v>8</v>
      </c>
      <c r="K90" s="93">
        <f t="shared" si="20"/>
        <v>29</v>
      </c>
      <c r="L90" s="93" t="str">
        <f t="shared" si="16"/>
        <v>74 ปี  8 เดือน  29 วัน</v>
      </c>
      <c r="M90" s="38">
        <f t="shared" si="17"/>
        <v>700</v>
      </c>
      <c r="N90" s="39"/>
      <c r="O90" s="298" t="s">
        <v>1202</v>
      </c>
      <c r="P90" s="42"/>
      <c r="Q90" s="110"/>
      <c r="R90" s="117">
        <v>70</v>
      </c>
      <c r="S90" s="96">
        <f>COUNTIF(I206:I215,"70")</f>
        <v>0</v>
      </c>
      <c r="T90" s="105"/>
      <c r="U90" s="115" t="s">
        <v>7</v>
      </c>
      <c r="V90" s="352">
        <f>SUM(S90:S99)</f>
        <v>10</v>
      </c>
      <c r="W90" s="109" t="s">
        <v>1349</v>
      </c>
      <c r="X90" s="42"/>
    </row>
    <row r="91" spans="1:24" s="57" customFormat="1" ht="26.25">
      <c r="A91" s="20">
        <f t="shared" si="15"/>
        <v>85</v>
      </c>
      <c r="B91" s="21" t="s">
        <v>31</v>
      </c>
      <c r="C91" s="22" t="s">
        <v>1304</v>
      </c>
      <c r="D91" s="23" t="s">
        <v>1305</v>
      </c>
      <c r="E91" s="24" t="s">
        <v>1306</v>
      </c>
      <c r="F91" s="25" t="s">
        <v>1199</v>
      </c>
      <c r="G91" s="26" t="s">
        <v>1307</v>
      </c>
      <c r="H91" s="27">
        <v>213357</v>
      </c>
      <c r="I91" s="28">
        <f t="shared" si="18"/>
        <v>75</v>
      </c>
      <c r="J91" s="93">
        <f t="shared" si="19"/>
        <v>7</v>
      </c>
      <c r="K91" s="93">
        <f t="shared" si="20"/>
        <v>7</v>
      </c>
      <c r="L91" s="93" t="str">
        <f t="shared" si="16"/>
        <v>75 ปี  7 เดือน  7 วัน</v>
      </c>
      <c r="M91" s="38">
        <f t="shared" si="17"/>
        <v>700</v>
      </c>
      <c r="N91" s="39"/>
      <c r="O91" s="298" t="s">
        <v>1202</v>
      </c>
      <c r="P91" s="42"/>
      <c r="Q91" s="110"/>
      <c r="R91" s="114">
        <v>71</v>
      </c>
      <c r="S91" s="96">
        <f>COUNTIF(I206:I215,"71")</f>
        <v>1</v>
      </c>
      <c r="T91" s="108"/>
      <c r="U91" s="115" t="s">
        <v>8</v>
      </c>
      <c r="V91" s="352">
        <f>SUM(S108:S116)</f>
        <v>0</v>
      </c>
      <c r="W91" s="109"/>
      <c r="X91" s="42"/>
    </row>
    <row r="92" spans="1:24" s="57" customFormat="1" ht="26.25">
      <c r="A92" s="200"/>
      <c r="B92" s="136"/>
      <c r="C92" s="154" t="s">
        <v>1421</v>
      </c>
      <c r="D92" s="155" t="s">
        <v>979</v>
      </c>
      <c r="E92" s="139" t="s">
        <v>980</v>
      </c>
      <c r="F92" s="341" t="s">
        <v>1199</v>
      </c>
      <c r="G92" s="141">
        <v>3740300255665</v>
      </c>
      <c r="H92" s="142">
        <v>213779</v>
      </c>
      <c r="I92" s="93">
        <v>0</v>
      </c>
      <c r="J92" s="93">
        <f t="shared" si="19"/>
        <v>5</v>
      </c>
      <c r="K92" s="93">
        <f t="shared" si="20"/>
        <v>10</v>
      </c>
      <c r="L92" s="93" t="str">
        <f t="shared" si="16"/>
        <v>0 ปี  5 เดือน  10 วัน</v>
      </c>
      <c r="M92" s="345">
        <v>0</v>
      </c>
      <c r="N92" s="134"/>
      <c r="O92" s="299" t="s">
        <v>1527</v>
      </c>
      <c r="P92" s="42"/>
      <c r="Q92" s="108" t="s">
        <v>1528</v>
      </c>
      <c r="R92" s="114">
        <v>72</v>
      </c>
      <c r="S92" s="96">
        <f>COUNTIF(I206:I215,"72")</f>
        <v>0</v>
      </c>
      <c r="T92" s="108"/>
      <c r="U92" s="115" t="s">
        <v>9</v>
      </c>
      <c r="V92" s="352">
        <f>SUM(S117:S126)</f>
        <v>0</v>
      </c>
      <c r="W92" s="109"/>
      <c r="X92" s="42"/>
    </row>
    <row r="93" spans="1:24" s="57" customFormat="1" ht="26.25">
      <c r="A93" s="20">
        <v>86</v>
      </c>
      <c r="B93" s="21" t="s">
        <v>30</v>
      </c>
      <c r="C93" s="123" t="s">
        <v>1431</v>
      </c>
      <c r="D93" s="124" t="s">
        <v>546</v>
      </c>
      <c r="E93" s="24" t="s">
        <v>547</v>
      </c>
      <c r="F93" s="156" t="s">
        <v>1199</v>
      </c>
      <c r="G93" s="26">
        <v>3120100575254</v>
      </c>
      <c r="H93" s="27">
        <v>214947</v>
      </c>
      <c r="I93" s="28">
        <f t="shared" si="18"/>
        <v>71</v>
      </c>
      <c r="J93" s="93">
        <f t="shared" si="19"/>
        <v>2</v>
      </c>
      <c r="K93" s="93">
        <f t="shared" si="20"/>
        <v>29</v>
      </c>
      <c r="L93" s="93" t="str">
        <f t="shared" si="16"/>
        <v>71 ปี  2 เดือน  29 วัน</v>
      </c>
      <c r="M93" s="29">
        <f t="shared" si="17"/>
        <v>700</v>
      </c>
      <c r="N93" s="134"/>
      <c r="O93" s="299" t="s">
        <v>1422</v>
      </c>
      <c r="P93" s="80"/>
      <c r="Q93" s="110"/>
      <c r="R93" s="114">
        <v>73</v>
      </c>
      <c r="S93" s="96">
        <f>COUNTIF(I206:I215,"73")</f>
        <v>1</v>
      </c>
      <c r="T93" s="108"/>
      <c r="U93" s="113" t="s">
        <v>25</v>
      </c>
      <c r="V93" s="113">
        <f>SUM(V89:V92)</f>
        <v>10</v>
      </c>
      <c r="W93" s="109"/>
      <c r="X93" s="80"/>
    </row>
    <row r="94" spans="1:24" s="57" customFormat="1" ht="26.25">
      <c r="A94" s="20">
        <f t="shared" si="15"/>
        <v>87</v>
      </c>
      <c r="B94" s="21" t="s">
        <v>32</v>
      </c>
      <c r="C94" s="123" t="s">
        <v>1454</v>
      </c>
      <c r="D94" s="124" t="s">
        <v>1455</v>
      </c>
      <c r="E94" s="24" t="s">
        <v>1456</v>
      </c>
      <c r="F94" s="156" t="s">
        <v>1199</v>
      </c>
      <c r="G94" s="26">
        <v>3710100513407</v>
      </c>
      <c r="H94" s="27">
        <v>215131</v>
      </c>
      <c r="I94" s="28">
        <f t="shared" si="18"/>
        <v>70</v>
      </c>
      <c r="J94" s="93">
        <f t="shared" si="19"/>
        <v>8</v>
      </c>
      <c r="K94" s="93">
        <f t="shared" si="20"/>
        <v>29</v>
      </c>
      <c r="L94" s="93" t="str">
        <f t="shared" si="16"/>
        <v>70 ปี  8 เดือน  29 วัน</v>
      </c>
      <c r="M94" s="29">
        <f t="shared" si="17"/>
        <v>700</v>
      </c>
      <c r="N94" s="134"/>
      <c r="O94" s="299" t="s">
        <v>1422</v>
      </c>
      <c r="P94" s="80"/>
      <c r="Q94" s="101"/>
      <c r="R94" s="114">
        <v>74</v>
      </c>
      <c r="S94" s="96">
        <f>COUNTIF(I206:I215,"74")</f>
        <v>2</v>
      </c>
      <c r="T94" s="101"/>
      <c r="U94" s="101"/>
      <c r="V94" s="101"/>
      <c r="W94" s="119"/>
      <c r="X94" s="80"/>
    </row>
    <row r="95" spans="1:24" s="57" customFormat="1" ht="21">
      <c r="A95" s="20">
        <f t="shared" si="15"/>
        <v>88</v>
      </c>
      <c r="B95" s="202" t="s">
        <v>31</v>
      </c>
      <c r="C95" s="203" t="s">
        <v>249</v>
      </c>
      <c r="D95" s="204" t="s">
        <v>614</v>
      </c>
      <c r="E95" s="205" t="s">
        <v>615</v>
      </c>
      <c r="F95" s="206">
        <v>2</v>
      </c>
      <c r="G95" s="207">
        <v>3730600586438</v>
      </c>
      <c r="H95" s="208">
        <v>215131</v>
      </c>
      <c r="I95" s="28">
        <f t="shared" si="18"/>
        <v>70</v>
      </c>
      <c r="J95" s="93">
        <f t="shared" si="19"/>
        <v>8</v>
      </c>
      <c r="K95" s="93">
        <f t="shared" si="20"/>
        <v>29</v>
      </c>
      <c r="L95" s="93" t="str">
        <f t="shared" si="16"/>
        <v>70 ปี  8 เดือน  29 วัน</v>
      </c>
      <c r="M95" s="29">
        <f t="shared" si="17"/>
        <v>700</v>
      </c>
      <c r="O95" s="296"/>
      <c r="P95" s="80"/>
      <c r="Q95" s="101"/>
      <c r="R95" s="114">
        <v>75</v>
      </c>
      <c r="S95" s="96">
        <f>COUNTIF(I206:I215,"75")</f>
        <v>1</v>
      </c>
      <c r="T95" s="101"/>
      <c r="U95" s="172"/>
      <c r="V95" s="96"/>
      <c r="W95" s="119"/>
      <c r="X95" s="80"/>
    </row>
    <row r="96" spans="1:24" s="57" customFormat="1" ht="21">
      <c r="A96" s="20">
        <f t="shared" si="15"/>
        <v>89</v>
      </c>
      <c r="B96" s="202" t="s">
        <v>30</v>
      </c>
      <c r="C96" s="209" t="s">
        <v>219</v>
      </c>
      <c r="D96" s="210" t="s">
        <v>618</v>
      </c>
      <c r="E96" s="205" t="s">
        <v>619</v>
      </c>
      <c r="F96" s="206">
        <v>2</v>
      </c>
      <c r="G96" s="207">
        <v>3730600585164</v>
      </c>
      <c r="H96" s="208">
        <v>215343</v>
      </c>
      <c r="I96" s="28">
        <f t="shared" si="18"/>
        <v>70</v>
      </c>
      <c r="J96" s="93">
        <f t="shared" si="19"/>
        <v>1</v>
      </c>
      <c r="K96" s="93">
        <f t="shared" si="20"/>
        <v>29</v>
      </c>
      <c r="L96" s="93" t="str">
        <f t="shared" si="16"/>
        <v>70 ปี  1 เดือน  29 วัน</v>
      </c>
      <c r="M96" s="38">
        <f t="shared" si="17"/>
        <v>700</v>
      </c>
      <c r="O96" s="296"/>
      <c r="P96" s="80"/>
      <c r="Q96" s="101" t="s">
        <v>1198</v>
      </c>
      <c r="R96" s="114">
        <v>76</v>
      </c>
      <c r="S96" s="96">
        <f>COUNTIF(I206:I215,"76")</f>
        <v>0</v>
      </c>
      <c r="T96" s="101"/>
      <c r="U96" s="172"/>
      <c r="V96" s="96"/>
      <c r="W96" s="119"/>
      <c r="X96" s="80"/>
    </row>
    <row r="97" spans="1:24" s="57" customFormat="1" ht="21">
      <c r="A97" s="20">
        <f t="shared" si="15"/>
        <v>90</v>
      </c>
      <c r="B97" s="202" t="s">
        <v>30</v>
      </c>
      <c r="C97" s="209" t="s">
        <v>623</v>
      </c>
      <c r="D97" s="210" t="s">
        <v>621</v>
      </c>
      <c r="E97" s="205" t="s">
        <v>622</v>
      </c>
      <c r="F97" s="206">
        <v>2</v>
      </c>
      <c r="G97" s="207">
        <v>3730600581622</v>
      </c>
      <c r="H97" s="208">
        <v>215387</v>
      </c>
      <c r="I97" s="28">
        <f t="shared" si="18"/>
        <v>70</v>
      </c>
      <c r="J97" s="93">
        <f t="shared" si="19"/>
        <v>0</v>
      </c>
      <c r="K97" s="93">
        <f t="shared" si="20"/>
        <v>16</v>
      </c>
      <c r="L97" s="93" t="str">
        <f t="shared" si="16"/>
        <v>70 ปี  0 เดือน  16 วัน</v>
      </c>
      <c r="M97" s="38">
        <f t="shared" si="17"/>
        <v>700</v>
      </c>
      <c r="O97" s="296"/>
      <c r="P97" s="80"/>
      <c r="Q97" s="101"/>
      <c r="R97" s="96">
        <v>77</v>
      </c>
      <c r="S97" s="166">
        <f>COUNTIF(I206:I215,"77")</f>
        <v>1</v>
      </c>
      <c r="T97" s="101"/>
      <c r="U97" s="172"/>
      <c r="V97" s="96"/>
      <c r="W97" s="119"/>
      <c r="X97" s="80"/>
    </row>
    <row r="98" spans="1:24" s="57" customFormat="1" ht="21">
      <c r="A98" s="20">
        <f t="shared" si="15"/>
        <v>91</v>
      </c>
      <c r="B98" s="202" t="s">
        <v>30</v>
      </c>
      <c r="C98" s="209" t="s">
        <v>648</v>
      </c>
      <c r="D98" s="210" t="s">
        <v>649</v>
      </c>
      <c r="E98" s="205" t="s">
        <v>650</v>
      </c>
      <c r="F98" s="206">
        <v>2</v>
      </c>
      <c r="G98" s="207">
        <v>3100400280101</v>
      </c>
      <c r="H98" s="208">
        <v>215131</v>
      </c>
      <c r="I98" s="28">
        <f t="shared" si="18"/>
        <v>70</v>
      </c>
      <c r="J98" s="93">
        <f t="shared" si="19"/>
        <v>8</v>
      </c>
      <c r="K98" s="93">
        <f t="shared" si="20"/>
        <v>29</v>
      </c>
      <c r="L98" s="93" t="str">
        <f t="shared" si="16"/>
        <v>70 ปี  8 เดือน  29 วัน</v>
      </c>
      <c r="M98" s="38">
        <f t="shared" si="17"/>
        <v>700</v>
      </c>
      <c r="O98" s="296"/>
      <c r="P98" s="80"/>
      <c r="Q98" s="101"/>
      <c r="R98" s="114">
        <v>78</v>
      </c>
      <c r="S98" s="96">
        <f>COUNTIF(I206:I215,"78")</f>
        <v>3</v>
      </c>
      <c r="T98" s="101"/>
      <c r="U98" s="172"/>
      <c r="V98" s="96"/>
      <c r="W98" s="119"/>
      <c r="X98" s="80"/>
    </row>
    <row r="99" spans="1:24" s="57" customFormat="1" ht="21">
      <c r="A99" s="20">
        <f t="shared" si="15"/>
        <v>92</v>
      </c>
      <c r="B99" s="21" t="s">
        <v>32</v>
      </c>
      <c r="C99" s="123" t="s">
        <v>418</v>
      </c>
      <c r="D99" s="124" t="s">
        <v>616</v>
      </c>
      <c r="E99" s="24" t="s">
        <v>617</v>
      </c>
      <c r="F99" s="25">
        <v>2</v>
      </c>
      <c r="G99" s="26">
        <v>3730600582777</v>
      </c>
      <c r="H99" s="27">
        <v>214811</v>
      </c>
      <c r="I99" s="28">
        <f t="shared" si="18"/>
        <v>71</v>
      </c>
      <c r="J99" s="93">
        <f t="shared" si="19"/>
        <v>7</v>
      </c>
      <c r="K99" s="93">
        <f t="shared" si="20"/>
        <v>14</v>
      </c>
      <c r="L99" s="93" t="str">
        <f t="shared" si="16"/>
        <v>71 ปี  7 เดือน  14 วัน</v>
      </c>
      <c r="M99" s="29">
        <f t="shared" si="17"/>
        <v>700</v>
      </c>
      <c r="N99" s="177"/>
      <c r="O99" s="292"/>
      <c r="P99" s="80"/>
      <c r="Q99" s="101"/>
      <c r="R99" s="114">
        <v>79</v>
      </c>
      <c r="S99" s="96">
        <f>COUNTIF(I206:I215,"79")</f>
        <v>1</v>
      </c>
      <c r="T99" s="119"/>
      <c r="U99" s="119"/>
      <c r="V99" s="119"/>
      <c r="W99" s="119"/>
      <c r="X99" s="80"/>
    </row>
    <row r="100" spans="1:24" s="57" customFormat="1" ht="21.75" thickBot="1">
      <c r="A100" s="20">
        <f t="shared" si="15"/>
        <v>93</v>
      </c>
      <c r="B100" s="21" t="s">
        <v>31</v>
      </c>
      <c r="C100" s="123" t="s">
        <v>624</v>
      </c>
      <c r="D100" s="124" t="s">
        <v>625</v>
      </c>
      <c r="E100" s="24" t="s">
        <v>60</v>
      </c>
      <c r="F100" s="25">
        <v>2</v>
      </c>
      <c r="G100" s="26">
        <v>3730600584222</v>
      </c>
      <c r="H100" s="27">
        <v>214765</v>
      </c>
      <c r="I100" s="28">
        <f t="shared" si="18"/>
        <v>71</v>
      </c>
      <c r="J100" s="93">
        <f t="shared" si="19"/>
        <v>8</v>
      </c>
      <c r="K100" s="93">
        <f t="shared" si="20"/>
        <v>29</v>
      </c>
      <c r="L100" s="93" t="str">
        <f t="shared" si="16"/>
        <v>71 ปี  8 เดือน  29 วัน</v>
      </c>
      <c r="M100" s="29">
        <f t="shared" si="17"/>
        <v>700</v>
      </c>
      <c r="N100" s="177"/>
      <c r="O100" s="292"/>
      <c r="P100" s="80"/>
      <c r="Q100" s="101"/>
      <c r="R100" s="464" t="s">
        <v>25</v>
      </c>
      <c r="S100" s="113">
        <f>SUM(S90:S99)</f>
        <v>10</v>
      </c>
      <c r="T100" s="119"/>
      <c r="U100" s="119"/>
      <c r="V100" s="119"/>
      <c r="W100" s="119"/>
      <c r="X100" s="80"/>
    </row>
    <row r="101" spans="1:24" s="57" customFormat="1" ht="21.75" thickTop="1">
      <c r="A101" s="20">
        <f t="shared" si="15"/>
        <v>94</v>
      </c>
      <c r="B101" s="21" t="s">
        <v>31</v>
      </c>
      <c r="C101" s="123" t="s">
        <v>629</v>
      </c>
      <c r="D101" s="124" t="s">
        <v>630</v>
      </c>
      <c r="E101" s="24" t="s">
        <v>631</v>
      </c>
      <c r="F101" s="25">
        <v>2</v>
      </c>
      <c r="G101" s="26">
        <v>3730600583471</v>
      </c>
      <c r="H101" s="27">
        <v>214765</v>
      </c>
      <c r="I101" s="28">
        <f t="shared" si="18"/>
        <v>71</v>
      </c>
      <c r="J101" s="93">
        <f t="shared" si="19"/>
        <v>8</v>
      </c>
      <c r="K101" s="93">
        <f t="shared" si="20"/>
        <v>29</v>
      </c>
      <c r="L101" s="93" t="str">
        <f t="shared" si="16"/>
        <v>71 ปี  8 เดือน  29 วัน</v>
      </c>
      <c r="M101" s="29">
        <f t="shared" si="17"/>
        <v>700</v>
      </c>
      <c r="N101" s="177"/>
      <c r="O101" s="292"/>
      <c r="P101" s="80"/>
      <c r="Q101" s="101"/>
      <c r="R101" s="172"/>
      <c r="S101" s="96"/>
      <c r="T101" s="119"/>
      <c r="U101" s="119"/>
      <c r="V101" s="119"/>
      <c r="W101" s="119"/>
      <c r="X101" s="80"/>
    </row>
    <row r="102" spans="1:24" s="57" customFormat="1" ht="21">
      <c r="A102" s="20">
        <f t="shared" si="15"/>
        <v>95</v>
      </c>
      <c r="B102" s="21" t="s">
        <v>32</v>
      </c>
      <c r="C102" s="123" t="s">
        <v>632</v>
      </c>
      <c r="D102" s="124" t="s">
        <v>548</v>
      </c>
      <c r="E102" s="24" t="s">
        <v>633</v>
      </c>
      <c r="F102" s="25">
        <v>2</v>
      </c>
      <c r="G102" s="26">
        <v>3730600143153</v>
      </c>
      <c r="H102" s="27">
        <v>214854</v>
      </c>
      <c r="I102" s="28">
        <f t="shared" si="18"/>
        <v>71</v>
      </c>
      <c r="J102" s="93">
        <f t="shared" si="19"/>
        <v>6</v>
      </c>
      <c r="K102" s="93">
        <f t="shared" si="20"/>
        <v>0</v>
      </c>
      <c r="L102" s="93" t="str">
        <f t="shared" si="16"/>
        <v>71 ปี  6 เดือน  0 วัน</v>
      </c>
      <c r="M102" s="29">
        <f t="shared" si="17"/>
        <v>700</v>
      </c>
      <c r="N102" s="177"/>
      <c r="O102" s="292"/>
      <c r="P102" s="80"/>
      <c r="Q102" s="101"/>
      <c r="R102" s="172"/>
      <c r="S102" s="96"/>
      <c r="T102" s="119"/>
      <c r="U102" s="119"/>
      <c r="V102" s="119"/>
      <c r="W102" s="119"/>
      <c r="X102" s="80"/>
    </row>
    <row r="103" spans="1:24" s="57" customFormat="1" ht="21">
      <c r="A103" s="20">
        <f t="shared" si="15"/>
        <v>96</v>
      </c>
      <c r="B103" s="21" t="s">
        <v>32</v>
      </c>
      <c r="C103" s="123" t="s">
        <v>634</v>
      </c>
      <c r="D103" s="124" t="s">
        <v>635</v>
      </c>
      <c r="E103" s="24" t="s">
        <v>181</v>
      </c>
      <c r="F103" s="25">
        <v>2</v>
      </c>
      <c r="G103" s="26">
        <v>3730600599122</v>
      </c>
      <c r="H103" s="27">
        <v>214924</v>
      </c>
      <c r="I103" s="28">
        <f t="shared" si="18"/>
        <v>71</v>
      </c>
      <c r="J103" s="93">
        <f t="shared" si="19"/>
        <v>3</v>
      </c>
      <c r="K103" s="93">
        <f t="shared" si="20"/>
        <v>22</v>
      </c>
      <c r="L103" s="93" t="str">
        <f t="shared" si="16"/>
        <v>71 ปี  3 เดือน  22 วัน</v>
      </c>
      <c r="M103" s="29">
        <f t="shared" si="17"/>
        <v>700</v>
      </c>
      <c r="N103" s="177"/>
      <c r="O103" s="292"/>
      <c r="P103" s="80"/>
      <c r="Q103" s="101"/>
      <c r="R103" s="172"/>
      <c r="S103" s="96"/>
      <c r="T103" s="119"/>
      <c r="U103" s="119"/>
      <c r="V103" s="119"/>
      <c r="W103" s="119"/>
      <c r="X103" s="80"/>
    </row>
    <row r="104" spans="1:24" s="57" customFormat="1" ht="21">
      <c r="A104" s="20">
        <f t="shared" si="15"/>
        <v>97</v>
      </c>
      <c r="B104" s="21" t="s">
        <v>296</v>
      </c>
      <c r="C104" s="123" t="s">
        <v>670</v>
      </c>
      <c r="D104" s="124" t="s">
        <v>348</v>
      </c>
      <c r="E104" s="24" t="s">
        <v>671</v>
      </c>
      <c r="F104" s="25">
        <v>2</v>
      </c>
      <c r="G104" s="26">
        <v>3730600581681</v>
      </c>
      <c r="H104" s="27">
        <v>214699</v>
      </c>
      <c r="I104" s="28">
        <f t="shared" si="18"/>
        <v>71</v>
      </c>
      <c r="J104" s="93">
        <f t="shared" si="19"/>
        <v>11</v>
      </c>
      <c r="K104" s="93">
        <f t="shared" si="20"/>
        <v>3</v>
      </c>
      <c r="L104" s="93" t="str">
        <f t="shared" si="16"/>
        <v>71 ปี  11 เดือน  3 วัน</v>
      </c>
      <c r="M104" s="29">
        <f t="shared" si="17"/>
        <v>700</v>
      </c>
      <c r="N104" s="177"/>
      <c r="O104" s="292"/>
      <c r="P104" s="80"/>
      <c r="Q104" s="101"/>
      <c r="R104" s="172"/>
      <c r="S104" s="96"/>
      <c r="T104" s="119"/>
      <c r="U104" s="119"/>
      <c r="V104" s="119"/>
      <c r="W104" s="119"/>
      <c r="X104" s="80"/>
    </row>
    <row r="105" spans="1:24" s="57" customFormat="1" ht="26.25">
      <c r="A105" s="20">
        <f t="shared" si="15"/>
        <v>98</v>
      </c>
      <c r="B105" s="21" t="s">
        <v>32</v>
      </c>
      <c r="C105" s="121" t="s">
        <v>250</v>
      </c>
      <c r="D105" s="122" t="s">
        <v>1040</v>
      </c>
      <c r="E105" s="24" t="s">
        <v>1041</v>
      </c>
      <c r="F105" s="25">
        <v>2</v>
      </c>
      <c r="G105" s="26">
        <v>3730600597839</v>
      </c>
      <c r="H105" s="27">
        <v>214400</v>
      </c>
      <c r="I105" s="28">
        <f t="shared" si="18"/>
        <v>72</v>
      </c>
      <c r="J105" s="93">
        <f t="shared" si="19"/>
        <v>8</v>
      </c>
      <c r="K105" s="93">
        <f t="shared" si="20"/>
        <v>29</v>
      </c>
      <c r="L105" s="93" t="str">
        <f t="shared" si="16"/>
        <v>72 ปี  8 เดือน  29 วัน</v>
      </c>
      <c r="M105" s="29">
        <f t="shared" si="17"/>
        <v>700</v>
      </c>
      <c r="N105" s="30"/>
      <c r="O105" s="293"/>
      <c r="P105" s="80"/>
      <c r="Q105" s="101"/>
      <c r="R105" s="172"/>
      <c r="S105" s="96"/>
      <c r="T105" s="119"/>
      <c r="U105" s="119"/>
      <c r="V105" s="119"/>
      <c r="W105" s="119"/>
      <c r="X105" s="80"/>
    </row>
    <row r="106" spans="1:24" s="57" customFormat="1" ht="26.25">
      <c r="A106" s="20">
        <f t="shared" si="15"/>
        <v>99</v>
      </c>
      <c r="B106" s="21" t="s">
        <v>30</v>
      </c>
      <c r="C106" s="123" t="s">
        <v>205</v>
      </c>
      <c r="D106" s="124" t="s">
        <v>1042</v>
      </c>
      <c r="E106" s="24" t="s">
        <v>259</v>
      </c>
      <c r="F106" s="25">
        <v>2</v>
      </c>
      <c r="G106" s="26">
        <v>3730600588881</v>
      </c>
      <c r="H106" s="27">
        <v>214376</v>
      </c>
      <c r="I106" s="28">
        <f t="shared" si="18"/>
        <v>72</v>
      </c>
      <c r="J106" s="93">
        <f t="shared" si="19"/>
        <v>9</v>
      </c>
      <c r="K106" s="93">
        <f t="shared" si="20"/>
        <v>22</v>
      </c>
      <c r="L106" s="93" t="str">
        <f t="shared" si="16"/>
        <v>72 ปี  9 เดือน  22 วัน</v>
      </c>
      <c r="M106" s="29">
        <f t="shared" si="17"/>
        <v>700</v>
      </c>
      <c r="N106" s="30"/>
      <c r="O106" s="294"/>
      <c r="P106" s="80"/>
      <c r="Q106" s="101" t="s">
        <v>1198</v>
      </c>
      <c r="R106" s="172"/>
      <c r="S106" s="96"/>
      <c r="T106" s="119"/>
      <c r="U106" s="119"/>
      <c r="V106" s="119"/>
      <c r="W106" s="119"/>
      <c r="X106" s="80"/>
    </row>
    <row r="107" spans="1:24" s="57" customFormat="1" ht="26.25">
      <c r="A107" s="20">
        <f t="shared" si="15"/>
        <v>100</v>
      </c>
      <c r="B107" s="21" t="s">
        <v>30</v>
      </c>
      <c r="C107" s="123" t="s">
        <v>1043</v>
      </c>
      <c r="D107" s="124" t="s">
        <v>616</v>
      </c>
      <c r="E107" s="24" t="s">
        <v>1044</v>
      </c>
      <c r="F107" s="25">
        <v>2</v>
      </c>
      <c r="G107" s="26">
        <v>3730600582751</v>
      </c>
      <c r="H107" s="27">
        <v>213564</v>
      </c>
      <c r="I107" s="28">
        <f t="shared" si="18"/>
        <v>75</v>
      </c>
      <c r="J107" s="93">
        <f t="shared" si="19"/>
        <v>0</v>
      </c>
      <c r="K107" s="93">
        <f t="shared" si="20"/>
        <v>13</v>
      </c>
      <c r="L107" s="93" t="str">
        <f aca="true" t="shared" si="21" ref="L107:L138">I107&amp;" ปี  "&amp;J107&amp;" เดือน  "&amp;K107&amp;" วัน"</f>
        <v>75 ปี  0 เดือน  13 วัน</v>
      </c>
      <c r="M107" s="38">
        <f aca="true" t="shared" si="22" ref="M107:M138">IF(I107&lt;=69,600,IF(I107&lt;=79,700,IF(I107&lt;=89,800,IF(I107&gt;=90,1000))))</f>
        <v>700</v>
      </c>
      <c r="N107" s="39"/>
      <c r="O107" s="295"/>
      <c r="P107" s="80"/>
      <c r="Q107" s="101"/>
      <c r="R107" s="172"/>
      <c r="S107" s="96"/>
      <c r="T107" s="119"/>
      <c r="U107" s="119"/>
      <c r="V107" s="119"/>
      <c r="W107" s="119"/>
      <c r="X107" s="80"/>
    </row>
    <row r="108" spans="1:24" s="57" customFormat="1" ht="26.25">
      <c r="A108" s="20">
        <f t="shared" si="15"/>
        <v>101</v>
      </c>
      <c r="B108" s="21" t="s">
        <v>31</v>
      </c>
      <c r="C108" s="121" t="s">
        <v>136</v>
      </c>
      <c r="D108" s="122" t="s">
        <v>700</v>
      </c>
      <c r="E108" s="24" t="s">
        <v>276</v>
      </c>
      <c r="F108" s="25">
        <v>2</v>
      </c>
      <c r="G108" s="26">
        <v>3730600582068</v>
      </c>
      <c r="H108" s="27">
        <v>212209</v>
      </c>
      <c r="I108" s="28">
        <f t="shared" si="18"/>
        <v>78</v>
      </c>
      <c r="J108" s="93">
        <f t="shared" si="19"/>
        <v>8</v>
      </c>
      <c r="K108" s="93">
        <f t="shared" si="20"/>
        <v>29</v>
      </c>
      <c r="L108" s="93" t="str">
        <f t="shared" si="21"/>
        <v>78 ปี  8 เดือน  29 วัน</v>
      </c>
      <c r="M108" s="38">
        <f t="shared" si="22"/>
        <v>700</v>
      </c>
      <c r="N108" s="39"/>
      <c r="O108" s="295"/>
      <c r="P108" s="80"/>
      <c r="Q108" s="101"/>
      <c r="R108" s="172"/>
      <c r="S108" s="96"/>
      <c r="T108" s="119"/>
      <c r="U108" s="119"/>
      <c r="V108" s="119"/>
      <c r="W108" s="119"/>
      <c r="X108" s="80"/>
    </row>
    <row r="109" spans="1:24" s="57" customFormat="1" ht="26.25">
      <c r="A109" s="20">
        <f t="shared" si="15"/>
        <v>102</v>
      </c>
      <c r="B109" s="21" t="s">
        <v>31</v>
      </c>
      <c r="C109" s="123" t="s">
        <v>519</v>
      </c>
      <c r="D109" s="124" t="s">
        <v>616</v>
      </c>
      <c r="E109" s="24" t="s">
        <v>103</v>
      </c>
      <c r="F109" s="25">
        <v>2</v>
      </c>
      <c r="G109" s="26">
        <v>3730600583030</v>
      </c>
      <c r="H109" s="27">
        <v>212476</v>
      </c>
      <c r="I109" s="28">
        <f t="shared" si="18"/>
        <v>78</v>
      </c>
      <c r="J109" s="93">
        <f t="shared" si="19"/>
        <v>0</v>
      </c>
      <c r="K109" s="93">
        <f t="shared" si="20"/>
        <v>5</v>
      </c>
      <c r="L109" s="93" t="str">
        <f t="shared" si="21"/>
        <v>78 ปี  0 เดือน  5 วัน</v>
      </c>
      <c r="M109" s="38">
        <f t="shared" si="22"/>
        <v>700</v>
      </c>
      <c r="N109" s="39"/>
      <c r="O109" s="295"/>
      <c r="P109" s="80"/>
      <c r="Q109" s="101"/>
      <c r="R109" s="172"/>
      <c r="S109" s="96"/>
      <c r="T109" s="119"/>
      <c r="U109" s="119"/>
      <c r="V109" s="119"/>
      <c r="W109" s="119"/>
      <c r="X109" s="80"/>
    </row>
    <row r="110" spans="1:24" s="57" customFormat="1" ht="26.25">
      <c r="A110" s="20">
        <f t="shared" si="15"/>
        <v>103</v>
      </c>
      <c r="B110" s="21" t="s">
        <v>32</v>
      </c>
      <c r="C110" s="123" t="s">
        <v>56</v>
      </c>
      <c r="D110" s="124" t="s">
        <v>616</v>
      </c>
      <c r="E110" s="24" t="s">
        <v>1045</v>
      </c>
      <c r="F110" s="25">
        <v>2</v>
      </c>
      <c r="G110" s="26">
        <v>3730600586276</v>
      </c>
      <c r="H110" s="27">
        <v>212574</v>
      </c>
      <c r="I110" s="28">
        <f t="shared" si="18"/>
        <v>77</v>
      </c>
      <c r="J110" s="93">
        <f t="shared" si="19"/>
        <v>8</v>
      </c>
      <c r="K110" s="93">
        <f t="shared" si="20"/>
        <v>29</v>
      </c>
      <c r="L110" s="93" t="str">
        <f t="shared" si="21"/>
        <v>77 ปี  8 เดือน  29 วัน</v>
      </c>
      <c r="M110" s="38">
        <f t="shared" si="22"/>
        <v>700</v>
      </c>
      <c r="N110" s="39"/>
      <c r="O110" s="295"/>
      <c r="P110" s="80"/>
      <c r="Q110" s="101" t="s">
        <v>1198</v>
      </c>
      <c r="R110" s="172"/>
      <c r="S110" s="96"/>
      <c r="T110" s="119"/>
      <c r="U110" s="119"/>
      <c r="V110" s="119"/>
      <c r="W110" s="119"/>
      <c r="X110" s="80"/>
    </row>
    <row r="111" spans="1:24" s="57" customFormat="1" ht="26.25">
      <c r="A111" s="20">
        <f t="shared" si="15"/>
        <v>104</v>
      </c>
      <c r="B111" s="21" t="s">
        <v>32</v>
      </c>
      <c r="C111" s="123" t="s">
        <v>204</v>
      </c>
      <c r="D111" s="124" t="s">
        <v>1046</v>
      </c>
      <c r="E111" s="24" t="s">
        <v>71</v>
      </c>
      <c r="F111" s="25">
        <v>2</v>
      </c>
      <c r="G111" s="26">
        <v>3730600585652</v>
      </c>
      <c r="H111" s="27">
        <v>214164</v>
      </c>
      <c r="I111" s="28">
        <f t="shared" si="18"/>
        <v>73</v>
      </c>
      <c r="J111" s="93">
        <f t="shared" si="19"/>
        <v>4</v>
      </c>
      <c r="K111" s="93">
        <f t="shared" si="20"/>
        <v>20</v>
      </c>
      <c r="L111" s="93" t="str">
        <f t="shared" si="21"/>
        <v>73 ปี  4 เดือน  20 วัน</v>
      </c>
      <c r="M111" s="38">
        <f t="shared" si="22"/>
        <v>700</v>
      </c>
      <c r="N111" s="39"/>
      <c r="O111" s="278"/>
      <c r="P111" s="80"/>
      <c r="Q111" s="101"/>
      <c r="R111" s="172"/>
      <c r="S111" s="96"/>
      <c r="T111" s="119"/>
      <c r="U111" s="119"/>
      <c r="V111" s="119"/>
      <c r="W111" s="119"/>
      <c r="X111" s="80"/>
    </row>
    <row r="112" spans="1:24" s="57" customFormat="1" ht="26.25">
      <c r="A112" s="20">
        <f t="shared" si="15"/>
        <v>105</v>
      </c>
      <c r="B112" s="21" t="s">
        <v>31</v>
      </c>
      <c r="C112" s="123" t="s">
        <v>1047</v>
      </c>
      <c r="D112" s="124" t="s">
        <v>614</v>
      </c>
      <c r="E112" s="24" t="s">
        <v>1048</v>
      </c>
      <c r="F112" s="25">
        <v>2</v>
      </c>
      <c r="G112" s="26">
        <v>3730600585695</v>
      </c>
      <c r="H112" s="27">
        <v>212585</v>
      </c>
      <c r="I112" s="28">
        <f t="shared" si="18"/>
        <v>77</v>
      </c>
      <c r="J112" s="93">
        <f t="shared" si="19"/>
        <v>8</v>
      </c>
      <c r="K112" s="93">
        <f t="shared" si="20"/>
        <v>18</v>
      </c>
      <c r="L112" s="93" t="str">
        <f t="shared" si="21"/>
        <v>77 ปี  8 เดือน  18 วัน</v>
      </c>
      <c r="M112" s="38">
        <f t="shared" si="22"/>
        <v>700</v>
      </c>
      <c r="N112" s="39"/>
      <c r="O112" s="295"/>
      <c r="P112" s="80"/>
      <c r="Q112" s="101"/>
      <c r="R112" s="172"/>
      <c r="S112" s="96"/>
      <c r="T112" s="119"/>
      <c r="U112" s="119"/>
      <c r="V112" s="119"/>
      <c r="W112" s="119"/>
      <c r="X112" s="80"/>
    </row>
    <row r="113" spans="1:24" s="57" customFormat="1" ht="26.25">
      <c r="A113" s="20">
        <f t="shared" si="15"/>
        <v>106</v>
      </c>
      <c r="B113" s="21" t="s">
        <v>30</v>
      </c>
      <c r="C113" s="123" t="s">
        <v>51</v>
      </c>
      <c r="D113" s="124" t="s">
        <v>614</v>
      </c>
      <c r="E113" s="24" t="s">
        <v>1050</v>
      </c>
      <c r="F113" s="25">
        <v>2</v>
      </c>
      <c r="G113" s="26">
        <v>3730600584575</v>
      </c>
      <c r="H113" s="27">
        <v>213304</v>
      </c>
      <c r="I113" s="28">
        <f t="shared" si="18"/>
        <v>75</v>
      </c>
      <c r="J113" s="93">
        <f t="shared" si="19"/>
        <v>8</v>
      </c>
      <c r="K113" s="93">
        <f t="shared" si="20"/>
        <v>29</v>
      </c>
      <c r="L113" s="93" t="str">
        <f t="shared" si="21"/>
        <v>75 ปี  8 เดือน  29 วัน</v>
      </c>
      <c r="M113" s="38">
        <f t="shared" si="22"/>
        <v>700</v>
      </c>
      <c r="N113" s="30"/>
      <c r="O113" s="296"/>
      <c r="P113" s="80"/>
      <c r="Q113" s="101"/>
      <c r="R113" s="172"/>
      <c r="S113" s="96"/>
      <c r="T113" s="119"/>
      <c r="U113" s="119"/>
      <c r="V113" s="119"/>
      <c r="W113" s="119"/>
      <c r="X113" s="80"/>
    </row>
    <row r="114" spans="1:24" s="57" customFormat="1" ht="26.25">
      <c r="A114" s="20">
        <f t="shared" si="15"/>
        <v>107</v>
      </c>
      <c r="B114" s="21" t="s">
        <v>31</v>
      </c>
      <c r="C114" s="123" t="s">
        <v>166</v>
      </c>
      <c r="D114" s="124" t="s">
        <v>1051</v>
      </c>
      <c r="E114" s="24" t="s">
        <v>186</v>
      </c>
      <c r="F114" s="25">
        <v>2</v>
      </c>
      <c r="G114" s="26">
        <v>3730600584893</v>
      </c>
      <c r="H114" s="27">
        <v>214132</v>
      </c>
      <c r="I114" s="28">
        <f t="shared" si="18"/>
        <v>73</v>
      </c>
      <c r="J114" s="93">
        <f t="shared" si="19"/>
        <v>5</v>
      </c>
      <c r="K114" s="93">
        <f t="shared" si="20"/>
        <v>22</v>
      </c>
      <c r="L114" s="93" t="str">
        <f t="shared" si="21"/>
        <v>73 ปี  5 เดือน  22 วัน</v>
      </c>
      <c r="M114" s="38">
        <f t="shared" si="22"/>
        <v>700</v>
      </c>
      <c r="N114" s="30"/>
      <c r="O114" s="297"/>
      <c r="P114" s="80"/>
      <c r="Q114" s="101"/>
      <c r="R114" s="172"/>
      <c r="S114" s="96"/>
      <c r="T114" s="119"/>
      <c r="U114" s="119"/>
      <c r="V114" s="119"/>
      <c r="W114" s="119"/>
      <c r="X114" s="80"/>
    </row>
    <row r="115" spans="1:24" s="57" customFormat="1" ht="26.25">
      <c r="A115" s="20">
        <f t="shared" si="15"/>
        <v>108</v>
      </c>
      <c r="B115" s="21" t="s">
        <v>32</v>
      </c>
      <c r="C115" s="123" t="s">
        <v>629</v>
      </c>
      <c r="D115" s="124" t="s">
        <v>921</v>
      </c>
      <c r="E115" s="24" t="s">
        <v>95</v>
      </c>
      <c r="F115" s="25">
        <v>2</v>
      </c>
      <c r="G115" s="26">
        <v>3730600581568</v>
      </c>
      <c r="H115" s="27">
        <v>212176</v>
      </c>
      <c r="I115" s="28">
        <f t="shared" si="18"/>
        <v>78</v>
      </c>
      <c r="J115" s="93">
        <f t="shared" si="19"/>
        <v>10</v>
      </c>
      <c r="K115" s="93">
        <f t="shared" si="20"/>
        <v>1</v>
      </c>
      <c r="L115" s="93" t="str">
        <f t="shared" si="21"/>
        <v>78 ปี  10 เดือน  1 วัน</v>
      </c>
      <c r="M115" s="38">
        <f t="shared" si="22"/>
        <v>700</v>
      </c>
      <c r="N115" s="39"/>
      <c r="O115" s="295"/>
      <c r="P115" s="80"/>
      <c r="Q115" s="133"/>
      <c r="R115" s="172"/>
      <c r="S115" s="96"/>
      <c r="T115" s="119"/>
      <c r="U115" s="119"/>
      <c r="V115" s="119"/>
      <c r="W115" s="119"/>
      <c r="X115" s="80"/>
    </row>
    <row r="116" spans="1:24" s="57" customFormat="1" ht="26.25">
      <c r="A116" s="20">
        <f t="shared" si="15"/>
        <v>109</v>
      </c>
      <c r="B116" s="21" t="s">
        <v>30</v>
      </c>
      <c r="C116" s="123" t="s">
        <v>627</v>
      </c>
      <c r="D116" s="124" t="s">
        <v>348</v>
      </c>
      <c r="E116" s="24" t="s">
        <v>671</v>
      </c>
      <c r="F116" s="25">
        <v>2</v>
      </c>
      <c r="G116" s="26">
        <v>3730600581673</v>
      </c>
      <c r="H116" s="27">
        <v>213670</v>
      </c>
      <c r="I116" s="28">
        <f t="shared" si="18"/>
        <v>74</v>
      </c>
      <c r="J116" s="93">
        <f t="shared" si="19"/>
        <v>8</v>
      </c>
      <c r="K116" s="93">
        <f t="shared" si="20"/>
        <v>29</v>
      </c>
      <c r="L116" s="93" t="str">
        <f t="shared" si="21"/>
        <v>74 ปี  8 เดือน  29 วัน</v>
      </c>
      <c r="M116" s="38">
        <f t="shared" si="22"/>
        <v>700</v>
      </c>
      <c r="N116" s="30"/>
      <c r="O116" s="297"/>
      <c r="P116" s="80"/>
      <c r="Q116" s="133"/>
      <c r="R116" s="172"/>
      <c r="S116" s="96"/>
      <c r="T116" s="119"/>
      <c r="U116" s="119"/>
      <c r="V116" s="119"/>
      <c r="W116" s="119"/>
      <c r="X116" s="80"/>
    </row>
    <row r="117" spans="1:24" s="57" customFormat="1" ht="26.25">
      <c r="A117" s="20">
        <f t="shared" si="15"/>
        <v>110</v>
      </c>
      <c r="B117" s="21" t="s">
        <v>31</v>
      </c>
      <c r="C117" s="123" t="s">
        <v>45</v>
      </c>
      <c r="D117" s="124" t="s">
        <v>1052</v>
      </c>
      <c r="E117" s="24" t="s">
        <v>723</v>
      </c>
      <c r="F117" s="25">
        <v>2</v>
      </c>
      <c r="G117" s="26">
        <v>3730600581843</v>
      </c>
      <c r="H117" s="27">
        <v>213085</v>
      </c>
      <c r="I117" s="28">
        <f t="shared" si="18"/>
        <v>76</v>
      </c>
      <c r="J117" s="93">
        <f t="shared" si="19"/>
        <v>4</v>
      </c>
      <c r="K117" s="93">
        <f t="shared" si="20"/>
        <v>3</v>
      </c>
      <c r="L117" s="93" t="str">
        <f t="shared" si="21"/>
        <v>76 ปี  4 เดือน  3 วัน</v>
      </c>
      <c r="M117" s="38">
        <f t="shared" si="22"/>
        <v>700</v>
      </c>
      <c r="N117" s="30"/>
      <c r="O117" s="297"/>
      <c r="P117" s="80"/>
      <c r="Q117" s="133"/>
      <c r="R117" s="172"/>
      <c r="S117" s="96"/>
      <c r="T117" s="119"/>
      <c r="U117" s="119"/>
      <c r="V117" s="119"/>
      <c r="W117" s="119"/>
      <c r="X117" s="80"/>
    </row>
    <row r="118" spans="1:24" s="57" customFormat="1" ht="26.25">
      <c r="A118" s="20">
        <f t="shared" si="15"/>
        <v>111</v>
      </c>
      <c r="B118" s="21" t="s">
        <v>31</v>
      </c>
      <c r="C118" s="123" t="s">
        <v>807</v>
      </c>
      <c r="D118" s="124" t="s">
        <v>1053</v>
      </c>
      <c r="E118" s="24" t="s">
        <v>180</v>
      </c>
      <c r="F118" s="25">
        <v>2</v>
      </c>
      <c r="G118" s="26">
        <v>3730600582548</v>
      </c>
      <c r="H118" s="27">
        <v>214008</v>
      </c>
      <c r="I118" s="28">
        <f t="shared" si="18"/>
        <v>73</v>
      </c>
      <c r="J118" s="93">
        <f t="shared" si="19"/>
        <v>9</v>
      </c>
      <c r="K118" s="93">
        <f t="shared" si="20"/>
        <v>25</v>
      </c>
      <c r="L118" s="93" t="str">
        <f t="shared" si="21"/>
        <v>73 ปี  9 เดือน  25 วัน</v>
      </c>
      <c r="M118" s="38">
        <f t="shared" si="22"/>
        <v>700</v>
      </c>
      <c r="N118" s="30"/>
      <c r="O118" s="297"/>
      <c r="P118" s="80"/>
      <c r="Q118" s="101"/>
      <c r="R118" s="172"/>
      <c r="S118" s="96"/>
      <c r="T118" s="119"/>
      <c r="U118" s="119"/>
      <c r="V118" s="119"/>
      <c r="W118" s="119"/>
      <c r="X118" s="80"/>
    </row>
    <row r="119" spans="1:24" s="57" customFormat="1" ht="26.25">
      <c r="A119" s="20">
        <f t="shared" si="15"/>
        <v>112</v>
      </c>
      <c r="B119" s="21" t="s">
        <v>30</v>
      </c>
      <c r="C119" s="123" t="s">
        <v>1054</v>
      </c>
      <c r="D119" s="124" t="s">
        <v>737</v>
      </c>
      <c r="E119" s="24" t="s">
        <v>77</v>
      </c>
      <c r="F119" s="25">
        <v>2</v>
      </c>
      <c r="G119" s="26">
        <v>3730600582688</v>
      </c>
      <c r="H119" s="27">
        <v>211847</v>
      </c>
      <c r="I119" s="28">
        <f t="shared" si="18"/>
        <v>79</v>
      </c>
      <c r="J119" s="93">
        <f t="shared" si="19"/>
        <v>8</v>
      </c>
      <c r="K119" s="93">
        <f t="shared" si="20"/>
        <v>25</v>
      </c>
      <c r="L119" s="93" t="str">
        <f t="shared" si="21"/>
        <v>79 ปี  8 เดือน  25 วัน</v>
      </c>
      <c r="M119" s="38">
        <f t="shared" si="22"/>
        <v>700</v>
      </c>
      <c r="N119" s="30"/>
      <c r="O119" s="278"/>
      <c r="P119" s="80"/>
      <c r="Q119" s="101"/>
      <c r="R119" s="120"/>
      <c r="S119" s="96"/>
      <c r="T119" s="119"/>
      <c r="U119" s="119"/>
      <c r="V119" s="119"/>
      <c r="W119" s="119"/>
      <c r="X119" s="80"/>
    </row>
    <row r="120" spans="1:24" s="57" customFormat="1" ht="26.25">
      <c r="A120" s="20">
        <f t="shared" si="15"/>
        <v>113</v>
      </c>
      <c r="B120" s="21" t="s">
        <v>32</v>
      </c>
      <c r="C120" s="123" t="s">
        <v>1055</v>
      </c>
      <c r="D120" s="124" t="s">
        <v>630</v>
      </c>
      <c r="E120" s="24" t="s">
        <v>1056</v>
      </c>
      <c r="F120" s="25">
        <v>2</v>
      </c>
      <c r="G120" s="26">
        <v>3730600583510</v>
      </c>
      <c r="H120" s="27">
        <v>212856</v>
      </c>
      <c r="I120" s="28">
        <f t="shared" si="18"/>
        <v>76</v>
      </c>
      <c r="J120" s="93">
        <f t="shared" si="19"/>
        <v>11</v>
      </c>
      <c r="K120" s="93">
        <f t="shared" si="20"/>
        <v>20</v>
      </c>
      <c r="L120" s="93" t="str">
        <f t="shared" si="21"/>
        <v>76 ปี  11 เดือน  20 วัน</v>
      </c>
      <c r="M120" s="38">
        <f t="shared" si="22"/>
        <v>700</v>
      </c>
      <c r="N120" s="30"/>
      <c r="O120" s="297"/>
      <c r="P120" s="80"/>
      <c r="Q120" s="133"/>
      <c r="T120" s="119"/>
      <c r="U120" s="119"/>
      <c r="V120" s="119"/>
      <c r="W120" s="119"/>
      <c r="X120" s="80"/>
    </row>
    <row r="121" spans="1:24" s="57" customFormat="1" ht="26.25">
      <c r="A121" s="20">
        <f t="shared" si="15"/>
        <v>114</v>
      </c>
      <c r="B121" s="21" t="s">
        <v>31</v>
      </c>
      <c r="C121" s="123" t="s">
        <v>936</v>
      </c>
      <c r="D121" s="124" t="s">
        <v>1057</v>
      </c>
      <c r="E121" s="24" t="s">
        <v>1050</v>
      </c>
      <c r="F121" s="25">
        <v>2</v>
      </c>
      <c r="G121" s="26">
        <v>3730600584583</v>
      </c>
      <c r="H121" s="27">
        <v>213670</v>
      </c>
      <c r="I121" s="28">
        <f t="shared" si="18"/>
        <v>74</v>
      </c>
      <c r="J121" s="93">
        <f t="shared" si="19"/>
        <v>8</v>
      </c>
      <c r="K121" s="93">
        <f t="shared" si="20"/>
        <v>29</v>
      </c>
      <c r="L121" s="93" t="str">
        <f t="shared" si="21"/>
        <v>74 ปี  8 เดือน  29 วัน</v>
      </c>
      <c r="M121" s="38">
        <f t="shared" si="22"/>
        <v>700</v>
      </c>
      <c r="N121" s="39"/>
      <c r="O121" s="295"/>
      <c r="P121" s="80"/>
      <c r="Q121" s="101"/>
      <c r="T121" s="119"/>
      <c r="U121" s="119"/>
      <c r="V121" s="119"/>
      <c r="W121" s="119"/>
      <c r="X121" s="80"/>
    </row>
    <row r="122" spans="1:24" s="57" customFormat="1" ht="26.25">
      <c r="A122" s="20">
        <f t="shared" si="15"/>
        <v>115</v>
      </c>
      <c r="B122" s="21" t="s">
        <v>31</v>
      </c>
      <c r="C122" s="123" t="s">
        <v>1058</v>
      </c>
      <c r="D122" s="124" t="s">
        <v>1059</v>
      </c>
      <c r="E122" s="24" t="s">
        <v>1060</v>
      </c>
      <c r="F122" s="25">
        <v>2</v>
      </c>
      <c r="G122" s="26">
        <v>3730300740920</v>
      </c>
      <c r="H122" s="27">
        <v>212695</v>
      </c>
      <c r="I122" s="28">
        <f t="shared" si="18"/>
        <v>77</v>
      </c>
      <c r="J122" s="93">
        <f t="shared" si="19"/>
        <v>4</v>
      </c>
      <c r="K122" s="93">
        <f t="shared" si="20"/>
        <v>28</v>
      </c>
      <c r="L122" s="93" t="str">
        <f t="shared" si="21"/>
        <v>77 ปี  4 เดือน  28 วัน</v>
      </c>
      <c r="M122" s="38">
        <f t="shared" si="22"/>
        <v>700</v>
      </c>
      <c r="N122" s="30"/>
      <c r="O122" s="297"/>
      <c r="P122" s="80"/>
      <c r="Q122" s="101"/>
      <c r="T122" s="119"/>
      <c r="U122" s="119"/>
      <c r="V122" s="119"/>
      <c r="W122" s="119"/>
      <c r="X122" s="80"/>
    </row>
    <row r="123" spans="1:26" s="57" customFormat="1" ht="26.25">
      <c r="A123" s="20">
        <f t="shared" si="15"/>
        <v>116</v>
      </c>
      <c r="B123" s="21" t="s">
        <v>30</v>
      </c>
      <c r="C123" s="123" t="s">
        <v>44</v>
      </c>
      <c r="D123" s="124" t="s">
        <v>1051</v>
      </c>
      <c r="E123" s="24" t="s">
        <v>1061</v>
      </c>
      <c r="F123" s="25">
        <v>2</v>
      </c>
      <c r="G123" s="26">
        <v>3730600584885</v>
      </c>
      <c r="H123" s="27">
        <v>212939</v>
      </c>
      <c r="I123" s="28">
        <f t="shared" si="18"/>
        <v>76</v>
      </c>
      <c r="J123" s="93">
        <f t="shared" si="19"/>
        <v>8</v>
      </c>
      <c r="K123" s="93">
        <f t="shared" si="20"/>
        <v>29</v>
      </c>
      <c r="L123" s="93" t="str">
        <f t="shared" si="21"/>
        <v>76 ปี  8 เดือน  29 วัน</v>
      </c>
      <c r="M123" s="38">
        <f t="shared" si="22"/>
        <v>700</v>
      </c>
      <c r="N123" s="39"/>
      <c r="O123" s="295"/>
      <c r="P123" s="80"/>
      <c r="Q123" s="119"/>
      <c r="R123" s="96"/>
      <c r="S123" s="119"/>
      <c r="T123" s="119"/>
      <c r="U123" s="119"/>
      <c r="V123" s="96"/>
      <c r="W123" s="96"/>
      <c r="X123" s="101"/>
      <c r="Y123" s="459"/>
      <c r="Z123" s="459"/>
    </row>
    <row r="124" spans="1:26" s="57" customFormat="1" ht="26.25">
      <c r="A124" s="20">
        <f t="shared" si="15"/>
        <v>117</v>
      </c>
      <c r="B124" s="21" t="s">
        <v>31</v>
      </c>
      <c r="C124" s="123" t="s">
        <v>1062</v>
      </c>
      <c r="D124" s="124" t="s">
        <v>1046</v>
      </c>
      <c r="E124" s="24" t="s">
        <v>1063</v>
      </c>
      <c r="F124" s="25">
        <v>2</v>
      </c>
      <c r="G124" s="26">
        <v>3730600585741</v>
      </c>
      <c r="H124" s="27">
        <v>213670</v>
      </c>
      <c r="I124" s="28">
        <f t="shared" si="18"/>
        <v>74</v>
      </c>
      <c r="J124" s="93">
        <f t="shared" si="19"/>
        <v>8</v>
      </c>
      <c r="K124" s="93">
        <f t="shared" si="20"/>
        <v>29</v>
      </c>
      <c r="L124" s="93" t="str">
        <f t="shared" si="21"/>
        <v>74 ปี  8 เดือน  29 วัน</v>
      </c>
      <c r="M124" s="38">
        <f t="shared" si="22"/>
        <v>700</v>
      </c>
      <c r="N124" s="30"/>
      <c r="O124" s="296"/>
      <c r="P124" s="80"/>
      <c r="Q124" s="119"/>
      <c r="R124" s="96"/>
      <c r="S124" s="119"/>
      <c r="T124" s="119"/>
      <c r="U124" s="119"/>
      <c r="V124" s="172"/>
      <c r="W124" s="96"/>
      <c r="X124" s="101"/>
      <c r="Y124" s="175"/>
      <c r="Z124" s="96"/>
    </row>
    <row r="125" spans="1:26" s="57" customFormat="1" ht="26.25">
      <c r="A125" s="20">
        <f t="shared" si="15"/>
        <v>118</v>
      </c>
      <c r="B125" s="21" t="s">
        <v>30</v>
      </c>
      <c r="C125" s="123" t="s">
        <v>1072</v>
      </c>
      <c r="D125" s="124" t="s">
        <v>1073</v>
      </c>
      <c r="E125" s="24" t="s">
        <v>115</v>
      </c>
      <c r="F125" s="25">
        <v>2</v>
      </c>
      <c r="G125" s="26">
        <v>3730600586411</v>
      </c>
      <c r="H125" s="27">
        <v>212574</v>
      </c>
      <c r="I125" s="28">
        <f t="shared" si="18"/>
        <v>77</v>
      </c>
      <c r="J125" s="93">
        <f t="shared" si="19"/>
        <v>8</v>
      </c>
      <c r="K125" s="93">
        <f t="shared" si="20"/>
        <v>29</v>
      </c>
      <c r="L125" s="93" t="str">
        <f t="shared" si="21"/>
        <v>77 ปี  8 เดือน  29 วัน</v>
      </c>
      <c r="M125" s="38">
        <f t="shared" si="22"/>
        <v>700</v>
      </c>
      <c r="N125" s="30"/>
      <c r="O125" s="297"/>
      <c r="P125" s="81"/>
      <c r="Q125" s="101"/>
      <c r="R125" s="56"/>
      <c r="V125" s="172"/>
      <c r="W125" s="96"/>
      <c r="X125" s="101"/>
      <c r="Y125" s="175"/>
      <c r="Z125" s="96"/>
    </row>
    <row r="126" spans="1:26" s="57" customFormat="1" ht="26.25">
      <c r="A126" s="20">
        <f t="shared" si="15"/>
        <v>119</v>
      </c>
      <c r="B126" s="21" t="s">
        <v>32</v>
      </c>
      <c r="C126" s="121" t="s">
        <v>170</v>
      </c>
      <c r="D126" s="122" t="s">
        <v>691</v>
      </c>
      <c r="E126" s="24" t="s">
        <v>1064</v>
      </c>
      <c r="F126" s="25">
        <v>2</v>
      </c>
      <c r="G126" s="26">
        <v>3730600586489</v>
      </c>
      <c r="H126" s="27">
        <v>213773</v>
      </c>
      <c r="I126" s="28">
        <f t="shared" si="18"/>
        <v>74</v>
      </c>
      <c r="J126" s="93">
        <f t="shared" si="19"/>
        <v>5</v>
      </c>
      <c r="K126" s="93">
        <f t="shared" si="20"/>
        <v>16</v>
      </c>
      <c r="L126" s="93" t="str">
        <f t="shared" si="21"/>
        <v>74 ปี  5 เดือน  16 วัน</v>
      </c>
      <c r="M126" s="38">
        <f t="shared" si="22"/>
        <v>700</v>
      </c>
      <c r="N126" s="30"/>
      <c r="O126" s="297"/>
      <c r="P126" s="80"/>
      <c r="Q126" s="101"/>
      <c r="R126" s="56"/>
      <c r="V126" s="172"/>
      <c r="W126" s="96"/>
      <c r="X126" s="101"/>
      <c r="Y126" s="175"/>
      <c r="Z126" s="96"/>
    </row>
    <row r="127" spans="1:26" ht="26.25">
      <c r="A127" s="20">
        <f t="shared" si="15"/>
        <v>120</v>
      </c>
      <c r="B127" s="21" t="s">
        <v>31</v>
      </c>
      <c r="C127" s="121" t="s">
        <v>1065</v>
      </c>
      <c r="D127" s="122" t="s">
        <v>1066</v>
      </c>
      <c r="E127" s="24" t="s">
        <v>1067</v>
      </c>
      <c r="F127" s="25" t="s">
        <v>684</v>
      </c>
      <c r="G127" s="26">
        <v>3101600507127</v>
      </c>
      <c r="H127" s="27">
        <v>213459</v>
      </c>
      <c r="I127" s="28">
        <f t="shared" si="18"/>
        <v>75</v>
      </c>
      <c r="J127" s="93">
        <f t="shared" si="19"/>
        <v>3</v>
      </c>
      <c r="K127" s="93">
        <f t="shared" si="20"/>
        <v>26</v>
      </c>
      <c r="L127" s="93" t="str">
        <f t="shared" si="21"/>
        <v>75 ปี  3 เดือน  26 วัน</v>
      </c>
      <c r="M127" s="38">
        <f t="shared" si="22"/>
        <v>700</v>
      </c>
      <c r="N127" s="30"/>
      <c r="O127" s="297"/>
      <c r="P127" s="57"/>
      <c r="R127" s="96"/>
      <c r="S127" s="119"/>
      <c r="T127" s="119"/>
      <c r="U127" s="119"/>
      <c r="V127" s="172"/>
      <c r="W127" s="96"/>
      <c r="X127" s="101"/>
      <c r="Y127" s="175"/>
      <c r="Z127" s="96"/>
    </row>
    <row r="128" spans="1:26" ht="26.25">
      <c r="A128" s="20">
        <f t="shared" si="15"/>
        <v>121</v>
      </c>
      <c r="B128" s="21" t="s">
        <v>31</v>
      </c>
      <c r="C128" s="123" t="s">
        <v>1069</v>
      </c>
      <c r="D128" s="124" t="s">
        <v>1070</v>
      </c>
      <c r="E128" s="24" t="s">
        <v>120</v>
      </c>
      <c r="F128" s="25">
        <v>2</v>
      </c>
      <c r="G128" s="26">
        <v>3730600586721</v>
      </c>
      <c r="H128" s="27">
        <v>213304</v>
      </c>
      <c r="I128" s="28">
        <f t="shared" si="18"/>
        <v>75</v>
      </c>
      <c r="J128" s="93">
        <f t="shared" si="19"/>
        <v>8</v>
      </c>
      <c r="K128" s="93">
        <f t="shared" si="20"/>
        <v>29</v>
      </c>
      <c r="L128" s="93" t="str">
        <f t="shared" si="21"/>
        <v>75 ปี  8 เดือน  29 วัน</v>
      </c>
      <c r="M128" s="38">
        <f t="shared" si="22"/>
        <v>700</v>
      </c>
      <c r="N128" s="30"/>
      <c r="O128" s="297"/>
      <c r="P128" s="57"/>
      <c r="Q128" s="119"/>
      <c r="R128" s="96"/>
      <c r="S128" s="119"/>
      <c r="T128" s="119"/>
      <c r="U128" s="119"/>
      <c r="V128" s="172"/>
      <c r="W128" s="96"/>
      <c r="X128" s="101"/>
      <c r="Y128" s="459"/>
      <c r="Z128" s="459"/>
    </row>
    <row r="129" spans="1:26" s="57" customFormat="1" ht="26.25">
      <c r="A129" s="20">
        <f t="shared" si="15"/>
        <v>122</v>
      </c>
      <c r="B129" s="21" t="s">
        <v>31</v>
      </c>
      <c r="C129" s="121" t="s">
        <v>168</v>
      </c>
      <c r="D129" s="122" t="s">
        <v>1071</v>
      </c>
      <c r="E129" s="24" t="s">
        <v>233</v>
      </c>
      <c r="F129" s="25">
        <v>2</v>
      </c>
      <c r="G129" s="26">
        <v>3730600587248</v>
      </c>
      <c r="H129" s="27">
        <v>213670</v>
      </c>
      <c r="I129" s="28">
        <f t="shared" si="18"/>
        <v>74</v>
      </c>
      <c r="J129" s="93">
        <f t="shared" si="19"/>
        <v>8</v>
      </c>
      <c r="K129" s="93">
        <f t="shared" si="20"/>
        <v>29</v>
      </c>
      <c r="L129" s="93" t="str">
        <f t="shared" si="21"/>
        <v>74 ปี  8 เดือน  29 วัน</v>
      </c>
      <c r="M129" s="38">
        <f t="shared" si="22"/>
        <v>700</v>
      </c>
      <c r="N129" s="39"/>
      <c r="O129" s="339" t="s">
        <v>1520</v>
      </c>
      <c r="Q129" s="101"/>
      <c r="R129" s="56"/>
      <c r="V129" s="172"/>
      <c r="W129" s="96"/>
      <c r="X129" s="101"/>
      <c r="Y129" s="101"/>
      <c r="Z129" s="116"/>
    </row>
    <row r="130" spans="1:26" ht="26.25">
      <c r="A130" s="20">
        <f t="shared" si="15"/>
        <v>123</v>
      </c>
      <c r="B130" s="21" t="s">
        <v>31</v>
      </c>
      <c r="C130" s="123" t="s">
        <v>707</v>
      </c>
      <c r="D130" s="124" t="s">
        <v>1042</v>
      </c>
      <c r="E130" s="24" t="s">
        <v>259</v>
      </c>
      <c r="F130" s="25">
        <v>2</v>
      </c>
      <c r="G130" s="26">
        <v>3730600588899</v>
      </c>
      <c r="H130" s="27">
        <v>213142</v>
      </c>
      <c r="I130" s="55">
        <f t="shared" si="18"/>
        <v>76</v>
      </c>
      <c r="J130" s="94">
        <f t="shared" si="19"/>
        <v>2</v>
      </c>
      <c r="K130" s="94">
        <f t="shared" si="20"/>
        <v>7</v>
      </c>
      <c r="L130" s="94" t="str">
        <f t="shared" si="21"/>
        <v>76 ปี  2 เดือน  7 วัน</v>
      </c>
      <c r="M130" s="38">
        <f t="shared" si="22"/>
        <v>700</v>
      </c>
      <c r="N130" s="30"/>
      <c r="O130" s="297"/>
      <c r="P130" s="82"/>
      <c r="R130" s="96"/>
      <c r="S130" s="119"/>
      <c r="T130" s="119"/>
      <c r="U130" s="119"/>
      <c r="V130" s="172"/>
      <c r="W130" s="96"/>
      <c r="X130" s="101"/>
      <c r="Y130" s="101"/>
      <c r="Z130" s="101"/>
    </row>
    <row r="131" spans="1:26" ht="26.25">
      <c r="A131" s="20">
        <f t="shared" si="15"/>
        <v>124</v>
      </c>
      <c r="B131" s="21" t="s">
        <v>31</v>
      </c>
      <c r="C131" s="22" t="s">
        <v>136</v>
      </c>
      <c r="D131" s="23" t="s">
        <v>898</v>
      </c>
      <c r="E131" s="24" t="s">
        <v>75</v>
      </c>
      <c r="F131" s="25" t="s">
        <v>684</v>
      </c>
      <c r="G131" s="26">
        <v>3730600580880</v>
      </c>
      <c r="H131" s="27">
        <v>213670</v>
      </c>
      <c r="I131" s="55">
        <f t="shared" si="18"/>
        <v>74</v>
      </c>
      <c r="J131" s="94">
        <f t="shared" si="19"/>
        <v>8</v>
      </c>
      <c r="K131" s="94">
        <f t="shared" si="20"/>
        <v>29</v>
      </c>
      <c r="L131" s="94" t="str">
        <f t="shared" si="21"/>
        <v>74 ปี  8 เดือน  29 วัน</v>
      </c>
      <c r="M131" s="38">
        <f t="shared" si="22"/>
        <v>700</v>
      </c>
      <c r="N131" s="30"/>
      <c r="O131" s="296" t="s">
        <v>1371</v>
      </c>
      <c r="P131" s="82"/>
      <c r="R131" s="96"/>
      <c r="S131" s="119"/>
      <c r="T131" s="119"/>
      <c r="U131" s="119"/>
      <c r="V131" s="172"/>
      <c r="W131" s="96"/>
      <c r="X131" s="101"/>
      <c r="Y131" s="101"/>
      <c r="Z131" s="101"/>
    </row>
    <row r="132" spans="1:26" ht="21">
      <c r="A132" s="20">
        <f t="shared" si="15"/>
        <v>125</v>
      </c>
      <c r="B132" s="202" t="s">
        <v>31</v>
      </c>
      <c r="C132" s="211" t="s">
        <v>672</v>
      </c>
      <c r="D132" s="212" t="s">
        <v>733</v>
      </c>
      <c r="E132" s="205" t="s">
        <v>63</v>
      </c>
      <c r="F132" s="206">
        <v>3</v>
      </c>
      <c r="G132" s="207">
        <v>3730600873046</v>
      </c>
      <c r="H132" s="208">
        <v>215320</v>
      </c>
      <c r="I132" s="55">
        <f t="shared" si="18"/>
        <v>70</v>
      </c>
      <c r="J132" s="94">
        <f t="shared" si="19"/>
        <v>2</v>
      </c>
      <c r="K132" s="94">
        <f t="shared" si="20"/>
        <v>21</v>
      </c>
      <c r="L132" s="94" t="str">
        <f t="shared" si="21"/>
        <v>70 ปี  2 เดือน  21 วัน</v>
      </c>
      <c r="M132" s="38">
        <f t="shared" si="22"/>
        <v>700</v>
      </c>
      <c r="N132" s="42"/>
      <c r="O132" s="295"/>
      <c r="P132" s="82"/>
      <c r="R132" s="96"/>
      <c r="S132" s="119"/>
      <c r="T132" s="119"/>
      <c r="U132" s="119"/>
      <c r="V132" s="172"/>
      <c r="W132" s="96"/>
      <c r="X132" s="101"/>
      <c r="Y132" s="101"/>
      <c r="Z132" s="101"/>
    </row>
    <row r="133" spans="1:26" ht="21">
      <c r="A133" s="20">
        <f t="shared" si="15"/>
        <v>126</v>
      </c>
      <c r="B133" s="202" t="s">
        <v>31</v>
      </c>
      <c r="C133" s="211" t="s">
        <v>148</v>
      </c>
      <c r="D133" s="212" t="s">
        <v>744</v>
      </c>
      <c r="E133" s="205" t="s">
        <v>745</v>
      </c>
      <c r="F133" s="206">
        <v>3</v>
      </c>
      <c r="G133" s="207">
        <v>3730600593329</v>
      </c>
      <c r="H133" s="208">
        <v>215131</v>
      </c>
      <c r="I133" s="55">
        <f t="shared" si="18"/>
        <v>70</v>
      </c>
      <c r="J133" s="94">
        <f t="shared" si="19"/>
        <v>8</v>
      </c>
      <c r="K133" s="94">
        <f t="shared" si="20"/>
        <v>29</v>
      </c>
      <c r="L133" s="94" t="str">
        <f t="shared" si="21"/>
        <v>70 ปี  8 เดือน  29 วัน</v>
      </c>
      <c r="M133" s="38">
        <f t="shared" si="22"/>
        <v>700</v>
      </c>
      <c r="N133" s="42"/>
      <c r="O133" s="295"/>
      <c r="P133" s="82"/>
      <c r="R133" s="96"/>
      <c r="S133" s="119"/>
      <c r="T133" s="119"/>
      <c r="U133" s="119"/>
      <c r="V133" s="172"/>
      <c r="W133" s="96"/>
      <c r="X133" s="101"/>
      <c r="Y133" s="101"/>
      <c r="Z133" s="101"/>
    </row>
    <row r="134" spans="1:26" ht="26.25">
      <c r="A134" s="20">
        <f t="shared" si="15"/>
        <v>127</v>
      </c>
      <c r="B134" s="21" t="s">
        <v>31</v>
      </c>
      <c r="C134" s="22" t="s">
        <v>40</v>
      </c>
      <c r="D134" s="23" t="s">
        <v>722</v>
      </c>
      <c r="E134" s="24" t="s">
        <v>723</v>
      </c>
      <c r="F134" s="25">
        <v>3</v>
      </c>
      <c r="G134" s="26">
        <v>3730600590184</v>
      </c>
      <c r="H134" s="27">
        <v>214913</v>
      </c>
      <c r="I134" s="55">
        <f t="shared" si="18"/>
        <v>71</v>
      </c>
      <c r="J134" s="94">
        <f t="shared" si="19"/>
        <v>4</v>
      </c>
      <c r="K134" s="94">
        <f t="shared" si="20"/>
        <v>2</v>
      </c>
      <c r="L134" s="94" t="str">
        <f t="shared" si="21"/>
        <v>71 ปี  4 เดือน  2 วัน</v>
      </c>
      <c r="M134" s="38">
        <f t="shared" si="22"/>
        <v>700</v>
      </c>
      <c r="N134" s="201"/>
      <c r="O134" s="300"/>
      <c r="R134" s="96"/>
      <c r="S134" s="119"/>
      <c r="T134" s="119"/>
      <c r="U134" s="119"/>
      <c r="V134" s="172"/>
      <c r="W134" s="96"/>
      <c r="X134" s="101"/>
      <c r="Y134" s="101"/>
      <c r="Z134" s="101"/>
    </row>
    <row r="135" spans="1:26" ht="26.25">
      <c r="A135" s="20">
        <f aca="true" t="shared" si="23" ref="A135:A198">A134+1</f>
        <v>128</v>
      </c>
      <c r="B135" s="21" t="s">
        <v>30</v>
      </c>
      <c r="C135" s="22" t="s">
        <v>724</v>
      </c>
      <c r="D135" s="23" t="s">
        <v>722</v>
      </c>
      <c r="E135" s="24" t="s">
        <v>723</v>
      </c>
      <c r="F135" s="25" t="s">
        <v>265</v>
      </c>
      <c r="G135" s="26">
        <v>3730600590192</v>
      </c>
      <c r="H135" s="27">
        <v>214765</v>
      </c>
      <c r="I135" s="55">
        <f t="shared" si="18"/>
        <v>71</v>
      </c>
      <c r="J135" s="94">
        <f t="shared" si="19"/>
        <v>8</v>
      </c>
      <c r="K135" s="94">
        <f t="shared" si="20"/>
        <v>29</v>
      </c>
      <c r="L135" s="94" t="str">
        <f t="shared" si="21"/>
        <v>71 ปี  8 เดือน  29 วัน</v>
      </c>
      <c r="M135" s="38">
        <f t="shared" si="22"/>
        <v>700</v>
      </c>
      <c r="N135" s="201"/>
      <c r="O135" s="300"/>
      <c r="R135" s="96"/>
      <c r="S135" s="119"/>
      <c r="T135" s="119"/>
      <c r="U135" s="119"/>
      <c r="V135" s="172"/>
      <c r="W135" s="96"/>
      <c r="X135" s="101"/>
      <c r="Y135" s="101"/>
      <c r="Z135" s="101"/>
    </row>
    <row r="136" spans="1:26" ht="26.25">
      <c r="A136" s="20">
        <f t="shared" si="23"/>
        <v>129</v>
      </c>
      <c r="B136" s="21" t="s">
        <v>32</v>
      </c>
      <c r="C136" s="22" t="s">
        <v>627</v>
      </c>
      <c r="D136" s="23" t="s">
        <v>616</v>
      </c>
      <c r="E136" s="24" t="s">
        <v>730</v>
      </c>
      <c r="F136" s="25">
        <v>3</v>
      </c>
      <c r="G136" s="26">
        <v>3730600591920</v>
      </c>
      <c r="H136" s="27">
        <v>214765</v>
      </c>
      <c r="I136" s="55">
        <f t="shared" si="18"/>
        <v>71</v>
      </c>
      <c r="J136" s="94">
        <f t="shared" si="19"/>
        <v>8</v>
      </c>
      <c r="K136" s="94">
        <f t="shared" si="20"/>
        <v>29</v>
      </c>
      <c r="L136" s="94" t="str">
        <f t="shared" si="21"/>
        <v>71 ปี  8 เดือน  29 วัน</v>
      </c>
      <c r="M136" s="38">
        <f t="shared" si="22"/>
        <v>700</v>
      </c>
      <c r="N136" s="201"/>
      <c r="O136" s="300"/>
      <c r="R136" s="96"/>
      <c r="S136" s="119"/>
      <c r="T136" s="119"/>
      <c r="U136" s="119"/>
      <c r="V136" s="172"/>
      <c r="W136" s="96"/>
      <c r="X136" s="101"/>
      <c r="Y136" s="101"/>
      <c r="Z136" s="101"/>
    </row>
    <row r="137" spans="1:26" s="57" customFormat="1" ht="21">
      <c r="A137" s="20">
        <f t="shared" si="23"/>
        <v>130</v>
      </c>
      <c r="B137" s="21" t="s">
        <v>31</v>
      </c>
      <c r="C137" s="22" t="s">
        <v>750</v>
      </c>
      <c r="D137" s="23" t="s">
        <v>732</v>
      </c>
      <c r="E137" s="24" t="s">
        <v>130</v>
      </c>
      <c r="F137" s="25">
        <v>3</v>
      </c>
      <c r="G137" s="26">
        <v>3730600873003</v>
      </c>
      <c r="H137" s="27">
        <v>215012</v>
      </c>
      <c r="I137" s="55">
        <f t="shared" si="18"/>
        <v>71</v>
      </c>
      <c r="J137" s="94">
        <f t="shared" si="19"/>
        <v>0</v>
      </c>
      <c r="K137" s="94">
        <f t="shared" si="20"/>
        <v>26</v>
      </c>
      <c r="L137" s="94" t="str">
        <f t="shared" si="21"/>
        <v>71 ปี  0 เดือน  26 วัน</v>
      </c>
      <c r="M137" s="38">
        <f t="shared" si="22"/>
        <v>700</v>
      </c>
      <c r="N137" s="177"/>
      <c r="O137" s="292"/>
      <c r="P137" s="42"/>
      <c r="Q137" s="101"/>
      <c r="R137" s="56"/>
      <c r="V137" s="172"/>
      <c r="W137" s="96"/>
      <c r="X137" s="101"/>
      <c r="Y137" s="101"/>
      <c r="Z137" s="101"/>
    </row>
    <row r="138" spans="1:26" s="57" customFormat="1" ht="26.25">
      <c r="A138" s="20">
        <f t="shared" si="23"/>
        <v>131</v>
      </c>
      <c r="B138" s="21" t="s">
        <v>30</v>
      </c>
      <c r="C138" s="22" t="s">
        <v>166</v>
      </c>
      <c r="D138" s="23" t="s">
        <v>741</v>
      </c>
      <c r="E138" s="24" t="s">
        <v>742</v>
      </c>
      <c r="F138" s="25">
        <v>3</v>
      </c>
      <c r="G138" s="26">
        <v>3730600592799</v>
      </c>
      <c r="H138" s="27">
        <v>214400</v>
      </c>
      <c r="I138" s="28">
        <f t="shared" si="18"/>
        <v>72</v>
      </c>
      <c r="J138" s="93">
        <f t="shared" si="19"/>
        <v>8</v>
      </c>
      <c r="K138" s="93">
        <f t="shared" si="20"/>
        <v>29</v>
      </c>
      <c r="L138" s="93" t="str">
        <f t="shared" si="21"/>
        <v>72 ปี  8 เดือน  29 วัน</v>
      </c>
      <c r="M138" s="38">
        <f t="shared" si="22"/>
        <v>700</v>
      </c>
      <c r="N138" s="39"/>
      <c r="O138" s="278"/>
      <c r="P138" s="42"/>
      <c r="Q138" s="101"/>
      <c r="R138" s="56"/>
      <c r="V138" s="172"/>
      <c r="W138" s="96"/>
      <c r="X138" s="101"/>
      <c r="Y138" s="101"/>
      <c r="Z138" s="101"/>
    </row>
    <row r="139" spans="1:26" s="57" customFormat="1" ht="26.25">
      <c r="A139" s="20">
        <f t="shared" si="23"/>
        <v>132</v>
      </c>
      <c r="B139" s="21" t="s">
        <v>30</v>
      </c>
      <c r="C139" s="22" t="s">
        <v>1007</v>
      </c>
      <c r="D139" s="23" t="s">
        <v>733</v>
      </c>
      <c r="E139" s="24" t="s">
        <v>63</v>
      </c>
      <c r="F139" s="25">
        <v>3</v>
      </c>
      <c r="G139" s="26">
        <v>5730600018835</v>
      </c>
      <c r="H139" s="27">
        <v>214400</v>
      </c>
      <c r="I139" s="55">
        <f t="shared" si="18"/>
        <v>72</v>
      </c>
      <c r="J139" s="94">
        <f t="shared" si="19"/>
        <v>8</v>
      </c>
      <c r="K139" s="94">
        <f t="shared" si="20"/>
        <v>29</v>
      </c>
      <c r="L139" s="94" t="str">
        <f aca="true" t="shared" si="24" ref="L139:L163">I139&amp;" ปี  "&amp;J139&amp;" เดือน  "&amp;K139&amp;" วัน"</f>
        <v>72 ปี  8 เดือน  29 วัน</v>
      </c>
      <c r="M139" s="38">
        <f aca="true" t="shared" si="25" ref="M139:M163">IF(I139&lt;=69,600,IF(I139&lt;=79,700,IF(I139&lt;=89,800,IF(I139&gt;=90,1000))))</f>
        <v>700</v>
      </c>
      <c r="N139" s="39"/>
      <c r="O139" s="278"/>
      <c r="P139" s="42"/>
      <c r="Q139" s="119"/>
      <c r="R139" s="56"/>
      <c r="V139" s="172"/>
      <c r="W139" s="96"/>
      <c r="X139" s="101"/>
      <c r="Y139" s="101"/>
      <c r="Z139" s="101"/>
    </row>
    <row r="140" spans="1:26" s="57" customFormat="1" ht="26.25">
      <c r="A140" s="20">
        <f t="shared" si="23"/>
        <v>133</v>
      </c>
      <c r="B140" s="21" t="s">
        <v>30</v>
      </c>
      <c r="C140" s="22" t="s">
        <v>220</v>
      </c>
      <c r="D140" s="23" t="s">
        <v>735</v>
      </c>
      <c r="E140" s="24" t="s">
        <v>736</v>
      </c>
      <c r="F140" s="25" t="s">
        <v>265</v>
      </c>
      <c r="G140" s="26">
        <v>5730600018924</v>
      </c>
      <c r="H140" s="27">
        <v>214400</v>
      </c>
      <c r="I140" s="55">
        <f t="shared" si="18"/>
        <v>72</v>
      </c>
      <c r="J140" s="94">
        <f t="shared" si="19"/>
        <v>8</v>
      </c>
      <c r="K140" s="94">
        <f t="shared" si="20"/>
        <v>29</v>
      </c>
      <c r="L140" s="94" t="str">
        <f t="shared" si="24"/>
        <v>72 ปี  8 เดือน  29 วัน</v>
      </c>
      <c r="M140" s="38">
        <f t="shared" si="25"/>
        <v>700</v>
      </c>
      <c r="N140" s="39"/>
      <c r="O140" s="278" t="s">
        <v>261</v>
      </c>
      <c r="P140" s="42"/>
      <c r="Q140" s="101"/>
      <c r="R140" s="56"/>
      <c r="V140" s="172"/>
      <c r="W140" s="96"/>
      <c r="X140" s="101"/>
      <c r="Y140" s="101"/>
      <c r="Z140" s="101"/>
    </row>
    <row r="141" spans="1:26" s="82" customFormat="1" ht="26.25">
      <c r="A141" s="20">
        <f t="shared" si="23"/>
        <v>134</v>
      </c>
      <c r="B141" s="21" t="s">
        <v>31</v>
      </c>
      <c r="C141" s="22" t="s">
        <v>207</v>
      </c>
      <c r="D141" s="23" t="s">
        <v>747</v>
      </c>
      <c r="E141" s="24" t="s">
        <v>72</v>
      </c>
      <c r="F141" s="25">
        <v>3</v>
      </c>
      <c r="G141" s="26">
        <v>3730600593655</v>
      </c>
      <c r="H141" s="27">
        <v>214400</v>
      </c>
      <c r="I141" s="55">
        <f t="shared" si="18"/>
        <v>72</v>
      </c>
      <c r="J141" s="94">
        <f t="shared" si="19"/>
        <v>8</v>
      </c>
      <c r="K141" s="94">
        <f t="shared" si="20"/>
        <v>29</v>
      </c>
      <c r="L141" s="94" t="str">
        <f t="shared" si="24"/>
        <v>72 ปี  8 เดือน  29 วัน</v>
      </c>
      <c r="M141" s="38">
        <f t="shared" si="25"/>
        <v>700</v>
      </c>
      <c r="N141" s="39"/>
      <c r="O141" s="278"/>
      <c r="P141" s="57"/>
      <c r="Q141" s="101"/>
      <c r="R141" s="87"/>
      <c r="V141" s="172"/>
      <c r="W141" s="96"/>
      <c r="X141" s="101"/>
      <c r="Y141" s="101"/>
      <c r="Z141" s="101"/>
    </row>
    <row r="142" spans="1:26" s="82" customFormat="1" ht="26.25">
      <c r="A142" s="20">
        <f t="shared" si="23"/>
        <v>135</v>
      </c>
      <c r="B142" s="21" t="s">
        <v>32</v>
      </c>
      <c r="C142" s="22" t="s">
        <v>250</v>
      </c>
      <c r="D142" s="23" t="s">
        <v>729</v>
      </c>
      <c r="E142" s="24" t="s">
        <v>266</v>
      </c>
      <c r="F142" s="25" t="s">
        <v>265</v>
      </c>
      <c r="G142" s="26">
        <v>5730600026633</v>
      </c>
      <c r="H142" s="27">
        <v>214400</v>
      </c>
      <c r="I142" s="55">
        <f aca="true" t="shared" si="26" ref="I142:I205">DATEDIF(H142,$S$21,"Y")</f>
        <v>72</v>
      </c>
      <c r="J142" s="94">
        <f aca="true" t="shared" si="27" ref="J142:J205">DATEDIF(H142,$S$21,"YM")</f>
        <v>8</v>
      </c>
      <c r="K142" s="94">
        <f aca="true" t="shared" si="28" ref="K142:K205">DATEDIF(H142,$S$21,"MD")</f>
        <v>29</v>
      </c>
      <c r="L142" s="94" t="str">
        <f t="shared" si="24"/>
        <v>72 ปี  8 เดือน  29 วัน</v>
      </c>
      <c r="M142" s="38">
        <f t="shared" si="25"/>
        <v>700</v>
      </c>
      <c r="N142" s="39"/>
      <c r="O142" s="278" t="s">
        <v>261</v>
      </c>
      <c r="P142" s="42"/>
      <c r="Q142" s="101"/>
      <c r="R142" s="87"/>
      <c r="V142" s="172"/>
      <c r="W142" s="96"/>
      <c r="X142" s="101"/>
      <c r="Y142" s="101"/>
      <c r="Z142" s="101"/>
    </row>
    <row r="143" spans="1:26" s="82" customFormat="1" ht="26.25">
      <c r="A143" s="20">
        <f t="shared" si="23"/>
        <v>136</v>
      </c>
      <c r="B143" s="21" t="s">
        <v>30</v>
      </c>
      <c r="C143" s="22" t="s">
        <v>1084</v>
      </c>
      <c r="D143" s="23" t="s">
        <v>1085</v>
      </c>
      <c r="E143" s="24" t="s">
        <v>910</v>
      </c>
      <c r="F143" s="25">
        <v>3</v>
      </c>
      <c r="G143" s="26">
        <v>5730600027010</v>
      </c>
      <c r="H143" s="27">
        <v>211843</v>
      </c>
      <c r="I143" s="55">
        <f t="shared" si="26"/>
        <v>79</v>
      </c>
      <c r="J143" s="94">
        <f t="shared" si="27"/>
        <v>8</v>
      </c>
      <c r="K143" s="94">
        <f t="shared" si="28"/>
        <v>29</v>
      </c>
      <c r="L143" s="94" t="str">
        <f t="shared" si="24"/>
        <v>79 ปี  8 เดือน  29 วัน</v>
      </c>
      <c r="M143" s="38">
        <f t="shared" si="25"/>
        <v>700</v>
      </c>
      <c r="N143" s="39"/>
      <c r="O143" s="278"/>
      <c r="P143" s="42"/>
      <c r="Q143" s="101"/>
      <c r="R143" s="87"/>
      <c r="V143" s="172"/>
      <c r="W143" s="96"/>
      <c r="X143" s="101"/>
      <c r="Y143" s="101"/>
      <c r="Z143" s="101"/>
    </row>
    <row r="144" spans="1:26" s="82" customFormat="1" ht="26.25">
      <c r="A144" s="20">
        <f t="shared" si="23"/>
        <v>137</v>
      </c>
      <c r="B144" s="21" t="s">
        <v>31</v>
      </c>
      <c r="C144" s="22" t="s">
        <v>653</v>
      </c>
      <c r="D144" s="23" t="s">
        <v>548</v>
      </c>
      <c r="E144" s="24" t="s">
        <v>257</v>
      </c>
      <c r="F144" s="25">
        <v>3</v>
      </c>
      <c r="G144" s="26">
        <v>3730600589968</v>
      </c>
      <c r="H144" s="27">
        <v>214090</v>
      </c>
      <c r="I144" s="55">
        <f t="shared" si="26"/>
        <v>73</v>
      </c>
      <c r="J144" s="94">
        <f t="shared" si="27"/>
        <v>7</v>
      </c>
      <c r="K144" s="94">
        <f t="shared" si="28"/>
        <v>5</v>
      </c>
      <c r="L144" s="94" t="str">
        <f t="shared" si="24"/>
        <v>73 ปี  7 เดือน  5 วัน</v>
      </c>
      <c r="M144" s="38">
        <f t="shared" si="25"/>
        <v>700</v>
      </c>
      <c r="N144" s="39"/>
      <c r="O144" s="278"/>
      <c r="P144" s="42"/>
      <c r="Q144" s="101"/>
      <c r="R144" s="87"/>
      <c r="V144" s="172"/>
      <c r="W144" s="96"/>
      <c r="X144" s="119"/>
      <c r="Y144" s="119"/>
      <c r="Z144" s="119"/>
    </row>
    <row r="145" spans="1:26" s="82" customFormat="1" ht="26.25">
      <c r="A145" s="20">
        <f t="shared" si="23"/>
        <v>138</v>
      </c>
      <c r="B145" s="21" t="s">
        <v>31</v>
      </c>
      <c r="C145" s="22" t="s">
        <v>169</v>
      </c>
      <c r="D145" s="23" t="s">
        <v>548</v>
      </c>
      <c r="E145" s="24" t="s">
        <v>1087</v>
      </c>
      <c r="F145" s="25">
        <v>3</v>
      </c>
      <c r="G145" s="26">
        <v>3730600590052</v>
      </c>
      <c r="H145" s="27">
        <v>213371</v>
      </c>
      <c r="I145" s="55">
        <f t="shared" si="26"/>
        <v>75</v>
      </c>
      <c r="J145" s="94">
        <f t="shared" si="27"/>
        <v>6</v>
      </c>
      <c r="K145" s="94">
        <f t="shared" si="28"/>
        <v>22</v>
      </c>
      <c r="L145" s="94" t="str">
        <f t="shared" si="24"/>
        <v>75 ปี  6 เดือน  22 วัน</v>
      </c>
      <c r="M145" s="38">
        <f t="shared" si="25"/>
        <v>700</v>
      </c>
      <c r="N145" s="39"/>
      <c r="O145" s="278"/>
      <c r="P145" s="42"/>
      <c r="Q145" s="119"/>
      <c r="R145" s="87"/>
      <c r="V145" s="172"/>
      <c r="W145" s="96"/>
      <c r="X145" s="119"/>
      <c r="Y145" s="119"/>
      <c r="Z145" s="119"/>
    </row>
    <row r="146" spans="1:26" ht="26.25">
      <c r="A146" s="20">
        <f t="shared" si="23"/>
        <v>139</v>
      </c>
      <c r="B146" s="21" t="s">
        <v>31</v>
      </c>
      <c r="C146" s="22" t="s">
        <v>228</v>
      </c>
      <c r="D146" s="23" t="s">
        <v>726</v>
      </c>
      <c r="E146" s="24" t="s">
        <v>176</v>
      </c>
      <c r="F146" s="25">
        <v>3</v>
      </c>
      <c r="G146" s="26">
        <v>3730600590249</v>
      </c>
      <c r="H146" s="27">
        <v>211802</v>
      </c>
      <c r="I146" s="55">
        <f t="shared" si="26"/>
        <v>79</v>
      </c>
      <c r="J146" s="94">
        <f t="shared" si="27"/>
        <v>10</v>
      </c>
      <c r="K146" s="94">
        <f t="shared" si="28"/>
        <v>9</v>
      </c>
      <c r="L146" s="94" t="str">
        <f t="shared" si="24"/>
        <v>79 ปี  10 เดือน  9 วัน</v>
      </c>
      <c r="M146" s="38">
        <f t="shared" si="25"/>
        <v>700</v>
      </c>
      <c r="N146" s="39"/>
      <c r="O146" s="278"/>
      <c r="R146" s="96"/>
      <c r="S146" s="119"/>
      <c r="T146" s="119"/>
      <c r="U146" s="119"/>
      <c r="V146" s="172"/>
      <c r="W146" s="96"/>
      <c r="X146" s="101"/>
      <c r="Y146" s="101"/>
      <c r="Z146" s="101"/>
    </row>
    <row r="147" spans="1:26" ht="26.25">
      <c r="A147" s="20">
        <f t="shared" si="23"/>
        <v>140</v>
      </c>
      <c r="B147" s="21" t="s">
        <v>31</v>
      </c>
      <c r="C147" s="22" t="s">
        <v>685</v>
      </c>
      <c r="D147" s="23" t="s">
        <v>1090</v>
      </c>
      <c r="E147" s="24" t="s">
        <v>1091</v>
      </c>
      <c r="F147" s="25">
        <v>3</v>
      </c>
      <c r="G147" s="26">
        <v>5730600011954</v>
      </c>
      <c r="H147" s="27">
        <v>214035</v>
      </c>
      <c r="I147" s="55">
        <f t="shared" si="26"/>
        <v>73</v>
      </c>
      <c r="J147" s="94">
        <f t="shared" si="27"/>
        <v>8</v>
      </c>
      <c r="K147" s="94">
        <f t="shared" si="28"/>
        <v>29</v>
      </c>
      <c r="L147" s="94" t="str">
        <f t="shared" si="24"/>
        <v>73 ปี  8 เดือน  29 วัน</v>
      </c>
      <c r="M147" s="38">
        <f t="shared" si="25"/>
        <v>700</v>
      </c>
      <c r="N147" s="39"/>
      <c r="O147" s="296"/>
      <c r="R147" s="96"/>
      <c r="S147" s="119"/>
      <c r="T147" s="119"/>
      <c r="U147" s="119"/>
      <c r="V147" s="172"/>
      <c r="W147" s="96"/>
      <c r="X147" s="101"/>
      <c r="Y147" s="101"/>
      <c r="Z147" s="101"/>
    </row>
    <row r="148" spans="1:26" ht="26.25">
      <c r="A148" s="20">
        <f t="shared" si="23"/>
        <v>141</v>
      </c>
      <c r="B148" s="21" t="s">
        <v>31</v>
      </c>
      <c r="C148" s="22" t="s">
        <v>85</v>
      </c>
      <c r="D148" s="23" t="s">
        <v>1093</v>
      </c>
      <c r="E148" s="24" t="s">
        <v>255</v>
      </c>
      <c r="F148" s="25">
        <v>3</v>
      </c>
      <c r="G148" s="26">
        <v>3730600592225</v>
      </c>
      <c r="H148" s="27">
        <v>212939</v>
      </c>
      <c r="I148" s="55">
        <f t="shared" si="26"/>
        <v>76</v>
      </c>
      <c r="J148" s="94">
        <f t="shared" si="27"/>
        <v>8</v>
      </c>
      <c r="K148" s="94">
        <f t="shared" si="28"/>
        <v>29</v>
      </c>
      <c r="L148" s="94" t="str">
        <f t="shared" si="24"/>
        <v>76 ปี  8 เดือน  29 วัน</v>
      </c>
      <c r="M148" s="38">
        <f t="shared" si="25"/>
        <v>700</v>
      </c>
      <c r="N148" s="39"/>
      <c r="O148" s="278"/>
      <c r="Q148" s="119"/>
      <c r="R148" s="96"/>
      <c r="S148" s="119"/>
      <c r="T148" s="119"/>
      <c r="U148" s="119"/>
      <c r="V148" s="172"/>
      <c r="W148" s="96"/>
      <c r="X148" s="101"/>
      <c r="Y148" s="101"/>
      <c r="Z148" s="101"/>
    </row>
    <row r="149" spans="1:26" ht="26.25">
      <c r="A149" s="20">
        <f t="shared" si="23"/>
        <v>142</v>
      </c>
      <c r="B149" s="21" t="s">
        <v>31</v>
      </c>
      <c r="C149" s="22" t="s">
        <v>1095</v>
      </c>
      <c r="D149" s="23" t="s">
        <v>682</v>
      </c>
      <c r="E149" s="24" t="s">
        <v>1096</v>
      </c>
      <c r="F149" s="25">
        <v>3</v>
      </c>
      <c r="G149" s="26">
        <v>3730600592454</v>
      </c>
      <c r="H149" s="27">
        <v>212209</v>
      </c>
      <c r="I149" s="55">
        <f t="shared" si="26"/>
        <v>78</v>
      </c>
      <c r="J149" s="94">
        <f t="shared" si="27"/>
        <v>8</v>
      </c>
      <c r="K149" s="94">
        <f t="shared" si="28"/>
        <v>29</v>
      </c>
      <c r="L149" s="94" t="str">
        <f t="shared" si="24"/>
        <v>78 ปี  8 เดือน  29 วัน</v>
      </c>
      <c r="M149" s="38">
        <f t="shared" si="25"/>
        <v>700</v>
      </c>
      <c r="N149" s="39"/>
      <c r="O149" s="278"/>
      <c r="R149" s="96"/>
      <c r="S149" s="119"/>
      <c r="T149" s="119"/>
      <c r="U149" s="119"/>
      <c r="V149" s="172"/>
      <c r="W149" s="96"/>
      <c r="X149" s="101"/>
      <c r="Y149" s="101"/>
      <c r="Z149" s="101"/>
    </row>
    <row r="150" spans="1:26" s="57" customFormat="1" ht="26.25">
      <c r="A150" s="20">
        <f t="shared" si="23"/>
        <v>143</v>
      </c>
      <c r="B150" s="21" t="s">
        <v>31</v>
      </c>
      <c r="C150" s="22" t="s">
        <v>318</v>
      </c>
      <c r="D150" s="23" t="s">
        <v>407</v>
      </c>
      <c r="E150" s="24" t="s">
        <v>810</v>
      </c>
      <c r="F150" s="25">
        <v>3</v>
      </c>
      <c r="G150" s="26">
        <v>5730600012705</v>
      </c>
      <c r="H150" s="27">
        <v>212664</v>
      </c>
      <c r="I150" s="55">
        <f t="shared" si="26"/>
        <v>77</v>
      </c>
      <c r="J150" s="94">
        <f t="shared" si="27"/>
        <v>5</v>
      </c>
      <c r="K150" s="94">
        <f t="shared" si="28"/>
        <v>29</v>
      </c>
      <c r="L150" s="94" t="str">
        <f t="shared" si="24"/>
        <v>77 ปี  5 เดือน  29 วัน</v>
      </c>
      <c r="M150" s="38">
        <f t="shared" si="25"/>
        <v>700</v>
      </c>
      <c r="N150" s="39"/>
      <c r="O150" s="278"/>
      <c r="Q150" s="101"/>
      <c r="R150" s="56"/>
      <c r="V150" s="172"/>
      <c r="W150" s="96"/>
      <c r="X150" s="101"/>
      <c r="Y150" s="101"/>
      <c r="Z150" s="101"/>
    </row>
    <row r="151" spans="1:26" ht="26.25">
      <c r="A151" s="20">
        <f t="shared" si="23"/>
        <v>144</v>
      </c>
      <c r="B151" s="21" t="s">
        <v>31</v>
      </c>
      <c r="C151" s="22" t="s">
        <v>36</v>
      </c>
      <c r="D151" s="23" t="s">
        <v>407</v>
      </c>
      <c r="E151" s="24" t="s">
        <v>1098</v>
      </c>
      <c r="F151" s="25">
        <v>3</v>
      </c>
      <c r="G151" s="26">
        <v>3770200320058</v>
      </c>
      <c r="H151" s="27">
        <v>212939</v>
      </c>
      <c r="I151" s="55">
        <f t="shared" si="26"/>
        <v>76</v>
      </c>
      <c r="J151" s="94">
        <f t="shared" si="27"/>
        <v>8</v>
      </c>
      <c r="K151" s="94">
        <f t="shared" si="28"/>
        <v>29</v>
      </c>
      <c r="L151" s="94" t="str">
        <f t="shared" si="24"/>
        <v>76 ปี  8 เดือน  29 วัน</v>
      </c>
      <c r="M151" s="38">
        <f t="shared" si="25"/>
        <v>700</v>
      </c>
      <c r="N151" s="39"/>
      <c r="O151" s="278"/>
      <c r="R151" s="96"/>
      <c r="S151" s="119"/>
      <c r="T151" s="119"/>
      <c r="U151" s="119"/>
      <c r="V151" s="172"/>
      <c r="W151" s="96"/>
      <c r="X151" s="101"/>
      <c r="Y151" s="101"/>
      <c r="Z151" s="101"/>
    </row>
    <row r="152" spans="1:26" ht="26.25">
      <c r="A152" s="200"/>
      <c r="B152" s="136"/>
      <c r="C152" s="137" t="s">
        <v>166</v>
      </c>
      <c r="D152" s="138" t="s">
        <v>744</v>
      </c>
      <c r="E152" s="139" t="s">
        <v>256</v>
      </c>
      <c r="F152" s="140">
        <v>3</v>
      </c>
      <c r="G152" s="141">
        <v>3730600592543</v>
      </c>
      <c r="H152" s="142">
        <v>213177</v>
      </c>
      <c r="I152" s="94">
        <v>0</v>
      </c>
      <c r="J152" s="94">
        <f t="shared" si="27"/>
        <v>1</v>
      </c>
      <c r="K152" s="94">
        <f t="shared" si="28"/>
        <v>3</v>
      </c>
      <c r="L152" s="94" t="str">
        <f t="shared" si="24"/>
        <v>0 ปี  1 เดือน  3 วัน</v>
      </c>
      <c r="M152" s="143">
        <v>0</v>
      </c>
      <c r="N152" s="134"/>
      <c r="O152" s="301" t="s">
        <v>1521</v>
      </c>
      <c r="R152" s="96"/>
      <c r="S152" s="119"/>
      <c r="T152" s="119"/>
      <c r="U152" s="119"/>
      <c r="V152" s="172"/>
      <c r="W152" s="96"/>
      <c r="X152" s="119"/>
      <c r="Y152" s="119"/>
      <c r="Z152" s="119"/>
    </row>
    <row r="153" spans="1:26" ht="26.25">
      <c r="A153" s="20">
        <v>145</v>
      </c>
      <c r="B153" s="21" t="s">
        <v>31</v>
      </c>
      <c r="C153" s="22" t="s">
        <v>1099</v>
      </c>
      <c r="D153" s="23" t="s">
        <v>193</v>
      </c>
      <c r="E153" s="24" t="s">
        <v>78</v>
      </c>
      <c r="F153" s="25">
        <v>3</v>
      </c>
      <c r="G153" s="26">
        <v>3730600593221</v>
      </c>
      <c r="H153" s="27">
        <v>212769</v>
      </c>
      <c r="I153" s="55">
        <f t="shared" si="26"/>
        <v>77</v>
      </c>
      <c r="J153" s="94">
        <f t="shared" si="27"/>
        <v>2</v>
      </c>
      <c r="K153" s="94">
        <f t="shared" si="28"/>
        <v>15</v>
      </c>
      <c r="L153" s="94" t="str">
        <f t="shared" si="24"/>
        <v>77 ปี  2 เดือน  15 วัน</v>
      </c>
      <c r="M153" s="38">
        <f t="shared" si="25"/>
        <v>700</v>
      </c>
      <c r="N153" s="39"/>
      <c r="O153" s="278"/>
      <c r="R153" s="96"/>
      <c r="S153" s="119"/>
      <c r="T153" s="119"/>
      <c r="U153" s="119"/>
      <c r="V153" s="172"/>
      <c r="W153" s="96"/>
      <c r="X153" s="119"/>
      <c r="Y153" s="119"/>
      <c r="Z153" s="119"/>
    </row>
    <row r="154" spans="1:26" ht="26.25">
      <c r="A154" s="20">
        <f t="shared" si="23"/>
        <v>146</v>
      </c>
      <c r="B154" s="21" t="s">
        <v>30</v>
      </c>
      <c r="C154" s="22" t="s">
        <v>201</v>
      </c>
      <c r="D154" s="23" t="s">
        <v>1100</v>
      </c>
      <c r="E154" s="24" t="s">
        <v>108</v>
      </c>
      <c r="F154" s="25">
        <v>3</v>
      </c>
      <c r="G154" s="26">
        <v>3730600593302</v>
      </c>
      <c r="H154" s="27">
        <v>212150</v>
      </c>
      <c r="I154" s="55">
        <f t="shared" si="26"/>
        <v>78</v>
      </c>
      <c r="J154" s="94">
        <f t="shared" si="27"/>
        <v>10</v>
      </c>
      <c r="K154" s="94">
        <f t="shared" si="28"/>
        <v>27</v>
      </c>
      <c r="L154" s="94" t="str">
        <f t="shared" si="24"/>
        <v>78 ปี  10 เดือน  27 วัน</v>
      </c>
      <c r="M154" s="38">
        <f t="shared" si="25"/>
        <v>700</v>
      </c>
      <c r="N154" s="39"/>
      <c r="O154" s="278"/>
      <c r="Q154" s="119"/>
      <c r="R154" s="96"/>
      <c r="S154" s="119"/>
      <c r="T154" s="119"/>
      <c r="U154" s="119"/>
      <c r="V154" s="172"/>
      <c r="W154" s="96"/>
      <c r="X154" s="119"/>
      <c r="Y154" s="119"/>
      <c r="Z154" s="119"/>
    </row>
    <row r="155" spans="1:26" ht="26.25">
      <c r="A155" s="20">
        <f t="shared" si="23"/>
        <v>147</v>
      </c>
      <c r="B155" s="21" t="s">
        <v>31</v>
      </c>
      <c r="C155" s="22" t="s">
        <v>226</v>
      </c>
      <c r="D155" s="23" t="s">
        <v>1100</v>
      </c>
      <c r="E155" s="24" t="s">
        <v>108</v>
      </c>
      <c r="F155" s="25">
        <v>3</v>
      </c>
      <c r="G155" s="26">
        <v>3730600593256</v>
      </c>
      <c r="H155" s="27">
        <v>213304</v>
      </c>
      <c r="I155" s="55">
        <f t="shared" si="26"/>
        <v>75</v>
      </c>
      <c r="J155" s="94">
        <f t="shared" si="27"/>
        <v>8</v>
      </c>
      <c r="K155" s="94">
        <f t="shared" si="28"/>
        <v>29</v>
      </c>
      <c r="L155" s="94" t="str">
        <f t="shared" si="24"/>
        <v>75 ปี  8 เดือน  29 วัน</v>
      </c>
      <c r="M155" s="38">
        <f t="shared" si="25"/>
        <v>700</v>
      </c>
      <c r="N155" s="39"/>
      <c r="O155" s="278"/>
      <c r="Q155" s="119"/>
      <c r="R155" s="96"/>
      <c r="S155" s="119"/>
      <c r="T155" s="119"/>
      <c r="U155" s="119"/>
      <c r="V155" s="172"/>
      <c r="W155" s="96"/>
      <c r="X155" s="119"/>
      <c r="Y155" s="119"/>
      <c r="Z155" s="119"/>
    </row>
    <row r="156" spans="1:26" ht="26.25">
      <c r="A156" s="20">
        <f t="shared" si="23"/>
        <v>148</v>
      </c>
      <c r="B156" s="21" t="s">
        <v>30</v>
      </c>
      <c r="C156" s="22" t="s">
        <v>345</v>
      </c>
      <c r="D156" s="23" t="s">
        <v>1101</v>
      </c>
      <c r="E156" s="24" t="s">
        <v>645</v>
      </c>
      <c r="F156" s="25">
        <v>3</v>
      </c>
      <c r="G156" s="26">
        <v>3730600593787</v>
      </c>
      <c r="H156" s="27">
        <v>213751</v>
      </c>
      <c r="I156" s="55">
        <f t="shared" si="26"/>
        <v>74</v>
      </c>
      <c r="J156" s="94">
        <f t="shared" si="27"/>
        <v>6</v>
      </c>
      <c r="K156" s="94">
        <f t="shared" si="28"/>
        <v>7</v>
      </c>
      <c r="L156" s="94" t="str">
        <f t="shared" si="24"/>
        <v>74 ปี  6 เดือน  7 วัน</v>
      </c>
      <c r="M156" s="38">
        <f t="shared" si="25"/>
        <v>700</v>
      </c>
      <c r="N156" s="39"/>
      <c r="O156" s="278"/>
      <c r="Q156" s="119"/>
      <c r="R156" s="96"/>
      <c r="S156" s="119"/>
      <c r="T156" s="119"/>
      <c r="U156" s="119"/>
      <c r="V156" s="172"/>
      <c r="W156" s="96"/>
      <c r="X156" s="119"/>
      <c r="Y156" s="119"/>
      <c r="Z156" s="119"/>
    </row>
    <row r="157" spans="1:26" ht="26.25">
      <c r="A157" s="20">
        <f t="shared" si="23"/>
        <v>149</v>
      </c>
      <c r="B157" s="21" t="s">
        <v>30</v>
      </c>
      <c r="C157" s="22" t="s">
        <v>144</v>
      </c>
      <c r="D157" s="23" t="s">
        <v>1103</v>
      </c>
      <c r="E157" s="24" t="s">
        <v>267</v>
      </c>
      <c r="F157" s="25">
        <v>3</v>
      </c>
      <c r="G157" s="26">
        <v>3730600873348</v>
      </c>
      <c r="H157" s="27">
        <v>213670</v>
      </c>
      <c r="I157" s="55">
        <f t="shared" si="26"/>
        <v>74</v>
      </c>
      <c r="J157" s="94">
        <f t="shared" si="27"/>
        <v>8</v>
      </c>
      <c r="K157" s="94">
        <f t="shared" si="28"/>
        <v>29</v>
      </c>
      <c r="L157" s="94" t="str">
        <f t="shared" si="24"/>
        <v>74 ปี  8 เดือน  29 วัน</v>
      </c>
      <c r="M157" s="38">
        <f t="shared" si="25"/>
        <v>700</v>
      </c>
      <c r="N157" s="39"/>
      <c r="O157" s="278"/>
      <c r="Q157" s="119"/>
      <c r="R157" s="96"/>
      <c r="S157" s="119"/>
      <c r="T157" s="119"/>
      <c r="U157" s="119"/>
      <c r="V157" s="120"/>
      <c r="W157" s="96"/>
      <c r="X157" s="119"/>
      <c r="Y157" s="119"/>
      <c r="Z157" s="119"/>
    </row>
    <row r="158" spans="1:23" ht="26.25">
      <c r="A158" s="20">
        <f t="shared" si="23"/>
        <v>150</v>
      </c>
      <c r="B158" s="21" t="s">
        <v>31</v>
      </c>
      <c r="C158" s="22" t="s">
        <v>41</v>
      </c>
      <c r="D158" s="23" t="s">
        <v>729</v>
      </c>
      <c r="E158" s="24" t="s">
        <v>1104</v>
      </c>
      <c r="F158" s="25">
        <v>3</v>
      </c>
      <c r="G158" s="26">
        <v>3730600874697</v>
      </c>
      <c r="H158" s="27">
        <v>213670</v>
      </c>
      <c r="I158" s="55">
        <f t="shared" si="26"/>
        <v>74</v>
      </c>
      <c r="J158" s="94">
        <f t="shared" si="27"/>
        <v>8</v>
      </c>
      <c r="K158" s="94">
        <f t="shared" si="28"/>
        <v>29</v>
      </c>
      <c r="L158" s="94" t="str">
        <f t="shared" si="24"/>
        <v>74 ปี  8 เดือน  29 วัน</v>
      </c>
      <c r="M158" s="38">
        <f t="shared" si="25"/>
        <v>700</v>
      </c>
      <c r="N158" s="39"/>
      <c r="O158" s="278"/>
      <c r="Q158" s="119"/>
      <c r="R158" s="96"/>
      <c r="S158" s="119"/>
      <c r="T158" s="119"/>
      <c r="U158" s="119"/>
      <c r="V158" s="119"/>
      <c r="W158" s="119"/>
    </row>
    <row r="159" spans="1:23" ht="26.25">
      <c r="A159" s="20">
        <f t="shared" si="23"/>
        <v>151</v>
      </c>
      <c r="B159" s="21" t="s">
        <v>31</v>
      </c>
      <c r="C159" s="22" t="s">
        <v>1105</v>
      </c>
      <c r="D159" s="23" t="s">
        <v>726</v>
      </c>
      <c r="E159" s="24" t="s">
        <v>135</v>
      </c>
      <c r="F159" s="25">
        <v>3</v>
      </c>
      <c r="G159" s="26">
        <v>3730600877327</v>
      </c>
      <c r="H159" s="27">
        <v>212574</v>
      </c>
      <c r="I159" s="55">
        <f t="shared" si="26"/>
        <v>77</v>
      </c>
      <c r="J159" s="94">
        <f t="shared" si="27"/>
        <v>8</v>
      </c>
      <c r="K159" s="94">
        <f t="shared" si="28"/>
        <v>29</v>
      </c>
      <c r="L159" s="94" t="str">
        <f t="shared" si="24"/>
        <v>77 ปี  8 เดือน  29 วัน</v>
      </c>
      <c r="M159" s="38">
        <f t="shared" si="25"/>
        <v>700</v>
      </c>
      <c r="N159" s="316"/>
      <c r="O159" s="278"/>
      <c r="Q159" s="119"/>
      <c r="R159" s="96"/>
      <c r="S159" s="119"/>
      <c r="T159" s="119"/>
      <c r="U159" s="119"/>
      <c r="V159" s="119"/>
      <c r="W159" s="119"/>
    </row>
    <row r="160" spans="1:23" s="57" customFormat="1" ht="26.25">
      <c r="A160" s="20">
        <f t="shared" si="23"/>
        <v>152</v>
      </c>
      <c r="B160" s="21" t="s">
        <v>30</v>
      </c>
      <c r="C160" s="22" t="s">
        <v>333</v>
      </c>
      <c r="D160" s="23" t="s">
        <v>732</v>
      </c>
      <c r="E160" s="24" t="s">
        <v>130</v>
      </c>
      <c r="F160" s="25">
        <v>3</v>
      </c>
      <c r="G160" s="26">
        <v>3730600872996</v>
      </c>
      <c r="H160" s="27">
        <v>213490</v>
      </c>
      <c r="I160" s="55">
        <f t="shared" si="26"/>
        <v>75</v>
      </c>
      <c r="J160" s="94">
        <f t="shared" si="27"/>
        <v>2</v>
      </c>
      <c r="K160" s="94">
        <f t="shared" si="28"/>
        <v>25</v>
      </c>
      <c r="L160" s="94" t="str">
        <f t="shared" si="24"/>
        <v>75 ปี  2 เดือน  25 วัน</v>
      </c>
      <c r="M160" s="38">
        <f t="shared" si="25"/>
        <v>700</v>
      </c>
      <c r="N160" s="39"/>
      <c r="O160" s="278"/>
      <c r="Q160" s="119"/>
      <c r="R160" s="96"/>
      <c r="S160" s="96"/>
      <c r="T160" s="119"/>
      <c r="U160" s="459"/>
      <c r="V160" s="459"/>
      <c r="W160" s="119"/>
    </row>
    <row r="161" spans="1:23" s="57" customFormat="1" ht="26.25">
      <c r="A161" s="20">
        <f t="shared" si="23"/>
        <v>153</v>
      </c>
      <c r="B161" s="84" t="s">
        <v>30</v>
      </c>
      <c r="C161" s="85" t="s">
        <v>975</v>
      </c>
      <c r="D161" s="86" t="s">
        <v>29</v>
      </c>
      <c r="E161" s="24" t="s">
        <v>730</v>
      </c>
      <c r="F161" s="25">
        <v>3</v>
      </c>
      <c r="G161" s="26">
        <v>3730600591954</v>
      </c>
      <c r="H161" s="27">
        <v>213192</v>
      </c>
      <c r="I161" s="55">
        <f t="shared" si="26"/>
        <v>76</v>
      </c>
      <c r="J161" s="94">
        <f t="shared" si="27"/>
        <v>0</v>
      </c>
      <c r="K161" s="94">
        <f t="shared" si="28"/>
        <v>19</v>
      </c>
      <c r="L161" s="94" t="str">
        <f t="shared" si="24"/>
        <v>76 ปี  0 เดือน  19 วัน</v>
      </c>
      <c r="M161" s="38">
        <f t="shared" si="25"/>
        <v>700</v>
      </c>
      <c r="N161" s="39"/>
      <c r="O161" s="278"/>
      <c r="Q161" s="101"/>
      <c r="R161" s="172"/>
      <c r="S161" s="96"/>
      <c r="T161" s="119"/>
      <c r="U161" s="175"/>
      <c r="V161" s="96"/>
      <c r="W161" s="119"/>
    </row>
    <row r="162" spans="1:24" ht="26.25">
      <c r="A162" s="20">
        <f t="shared" si="23"/>
        <v>154</v>
      </c>
      <c r="B162" s="21" t="s">
        <v>30</v>
      </c>
      <c r="C162" s="22" t="s">
        <v>208</v>
      </c>
      <c r="D162" s="23" t="s">
        <v>1106</v>
      </c>
      <c r="E162" s="24" t="s">
        <v>184</v>
      </c>
      <c r="F162" s="25">
        <v>3</v>
      </c>
      <c r="G162" s="26">
        <v>3730600593485</v>
      </c>
      <c r="H162" s="27">
        <v>213044</v>
      </c>
      <c r="I162" s="55">
        <f t="shared" si="26"/>
        <v>76</v>
      </c>
      <c r="J162" s="94">
        <f t="shared" si="27"/>
        <v>5</v>
      </c>
      <c r="K162" s="94">
        <f t="shared" si="28"/>
        <v>14</v>
      </c>
      <c r="L162" s="94" t="str">
        <f t="shared" si="24"/>
        <v>76 ปี  5 เดือน  14 วัน</v>
      </c>
      <c r="M162" s="38">
        <f t="shared" si="25"/>
        <v>700</v>
      </c>
      <c r="N162" s="39"/>
      <c r="O162" s="278"/>
      <c r="P162" s="57"/>
      <c r="R162" s="172"/>
      <c r="S162" s="96"/>
      <c r="T162" s="119"/>
      <c r="U162" s="175"/>
      <c r="V162" s="96"/>
      <c r="W162" s="119"/>
      <c r="X162" s="57"/>
    </row>
    <row r="163" spans="1:24" ht="21">
      <c r="A163" s="20">
        <f t="shared" si="23"/>
        <v>155</v>
      </c>
      <c r="B163" s="202" t="s">
        <v>30</v>
      </c>
      <c r="C163" s="211" t="s">
        <v>793</v>
      </c>
      <c r="D163" s="212" t="s">
        <v>780</v>
      </c>
      <c r="E163" s="205" t="s">
        <v>64</v>
      </c>
      <c r="F163" s="206" t="s">
        <v>268</v>
      </c>
      <c r="G163" s="207">
        <v>3730600596590</v>
      </c>
      <c r="H163" s="208">
        <v>215131</v>
      </c>
      <c r="I163" s="28">
        <f t="shared" si="26"/>
        <v>70</v>
      </c>
      <c r="J163" s="93">
        <f t="shared" si="27"/>
        <v>8</v>
      </c>
      <c r="K163" s="93">
        <f t="shared" si="28"/>
        <v>29</v>
      </c>
      <c r="L163" s="93" t="str">
        <f t="shared" si="24"/>
        <v>70 ปี  8 เดือน  29 วัน</v>
      </c>
      <c r="M163" s="38">
        <f t="shared" si="25"/>
        <v>700</v>
      </c>
      <c r="N163" s="42"/>
      <c r="O163" s="278"/>
      <c r="P163" s="57"/>
      <c r="R163" s="172"/>
      <c r="S163" s="96"/>
      <c r="T163" s="119"/>
      <c r="U163" s="175"/>
      <c r="V163" s="96"/>
      <c r="W163" s="119"/>
      <c r="X163" s="57"/>
    </row>
    <row r="164" spans="1:24" ht="26.25">
      <c r="A164" s="20">
        <f t="shared" si="23"/>
        <v>156</v>
      </c>
      <c r="B164" s="21" t="s">
        <v>31</v>
      </c>
      <c r="C164" s="22" t="s">
        <v>1121</v>
      </c>
      <c r="D164" s="23" t="s">
        <v>776</v>
      </c>
      <c r="E164" s="24" t="s">
        <v>181</v>
      </c>
      <c r="F164" s="25">
        <v>4</v>
      </c>
      <c r="G164" s="26">
        <v>3730600596093</v>
      </c>
      <c r="H164" s="27">
        <v>214400</v>
      </c>
      <c r="I164" s="28">
        <f t="shared" si="26"/>
        <v>72</v>
      </c>
      <c r="J164" s="93">
        <f t="shared" si="27"/>
        <v>8</v>
      </c>
      <c r="K164" s="93">
        <f t="shared" si="28"/>
        <v>29</v>
      </c>
      <c r="L164" s="93" t="str">
        <f aca="true" t="shared" si="29" ref="L164:L175">I164&amp;" ปี  "&amp;J164&amp;" เดือน  "&amp;K164&amp;" วัน"</f>
        <v>72 ปี  8 เดือน  29 วัน</v>
      </c>
      <c r="M164" s="38">
        <f aca="true" t="shared" si="30" ref="M164:M175">IF(I164&lt;=69,600,IF(I164&lt;=79,700,IF(I164&lt;=89,800,IF(I164&gt;=90,1000))))</f>
        <v>700</v>
      </c>
      <c r="N164" s="39"/>
      <c r="O164" s="278"/>
      <c r="P164" s="57"/>
      <c r="R164" s="172"/>
      <c r="S164" s="96"/>
      <c r="T164" s="119"/>
      <c r="U164" s="175"/>
      <c r="V164" s="96"/>
      <c r="W164" s="119"/>
      <c r="X164" s="57"/>
    </row>
    <row r="165" spans="1:24" ht="26.25">
      <c r="A165" s="20">
        <f t="shared" si="23"/>
        <v>157</v>
      </c>
      <c r="B165" s="21" t="s">
        <v>31</v>
      </c>
      <c r="C165" s="22" t="s">
        <v>250</v>
      </c>
      <c r="D165" s="23" t="s">
        <v>828</v>
      </c>
      <c r="E165" s="24" t="s">
        <v>767</v>
      </c>
      <c r="F165" s="25">
        <v>4</v>
      </c>
      <c r="G165" s="26">
        <v>3730600594686</v>
      </c>
      <c r="H165" s="27">
        <v>214400</v>
      </c>
      <c r="I165" s="55">
        <f t="shared" si="26"/>
        <v>72</v>
      </c>
      <c r="J165" s="94">
        <f t="shared" si="27"/>
        <v>8</v>
      </c>
      <c r="K165" s="94">
        <f t="shared" si="28"/>
        <v>29</v>
      </c>
      <c r="L165" s="94" t="str">
        <f t="shared" si="29"/>
        <v>72 ปี  8 เดือน  29 วัน</v>
      </c>
      <c r="M165" s="38">
        <f t="shared" si="30"/>
        <v>700</v>
      </c>
      <c r="N165" s="39"/>
      <c r="O165" s="278"/>
      <c r="P165" s="57"/>
      <c r="R165" s="172"/>
      <c r="S165" s="96"/>
      <c r="T165" s="119"/>
      <c r="U165" s="459"/>
      <c r="V165" s="459"/>
      <c r="W165" s="119"/>
      <c r="X165" s="57"/>
    </row>
    <row r="166" spans="1:24" ht="26.25">
      <c r="A166" s="20">
        <f t="shared" si="23"/>
        <v>158</v>
      </c>
      <c r="B166" s="268" t="s">
        <v>30</v>
      </c>
      <c r="C166" s="309" t="s">
        <v>1122</v>
      </c>
      <c r="D166" s="310" t="s">
        <v>786</v>
      </c>
      <c r="E166" s="311" t="s">
        <v>175</v>
      </c>
      <c r="F166" s="312">
        <v>4</v>
      </c>
      <c r="G166" s="313">
        <v>3730600596999</v>
      </c>
      <c r="H166" s="314">
        <v>214400</v>
      </c>
      <c r="I166" s="264">
        <f t="shared" si="26"/>
        <v>72</v>
      </c>
      <c r="J166" s="264">
        <f t="shared" si="27"/>
        <v>8</v>
      </c>
      <c r="K166" s="264">
        <f t="shared" si="28"/>
        <v>29</v>
      </c>
      <c r="L166" s="264" t="str">
        <f t="shared" si="29"/>
        <v>72 ปี  8 เดือน  29 วัน</v>
      </c>
      <c r="M166" s="315">
        <f t="shared" si="30"/>
        <v>700</v>
      </c>
      <c r="N166" s="39"/>
      <c r="O166" s="302" t="s">
        <v>1386</v>
      </c>
      <c r="P166" s="57"/>
      <c r="R166" s="172"/>
      <c r="S166" s="96"/>
      <c r="T166" s="119"/>
      <c r="U166" s="119"/>
      <c r="V166" s="176"/>
      <c r="W166" s="119"/>
      <c r="X166" s="57"/>
    </row>
    <row r="167" spans="1:24" ht="26.25">
      <c r="A167" s="20">
        <f t="shared" si="23"/>
        <v>159</v>
      </c>
      <c r="B167" s="21" t="s">
        <v>31</v>
      </c>
      <c r="C167" s="22" t="s">
        <v>210</v>
      </c>
      <c r="D167" s="23" t="s">
        <v>1123</v>
      </c>
      <c r="E167" s="24" t="s">
        <v>266</v>
      </c>
      <c r="F167" s="25">
        <v>4</v>
      </c>
      <c r="G167" s="26">
        <v>3730600421811</v>
      </c>
      <c r="H167" s="27">
        <v>214519</v>
      </c>
      <c r="I167" s="55">
        <f t="shared" si="26"/>
        <v>72</v>
      </c>
      <c r="J167" s="94">
        <f t="shared" si="27"/>
        <v>5</v>
      </c>
      <c r="K167" s="94">
        <f t="shared" si="28"/>
        <v>0</v>
      </c>
      <c r="L167" s="94" t="str">
        <f t="shared" si="29"/>
        <v>72 ปี  5 เดือน  0 วัน</v>
      </c>
      <c r="M167" s="38">
        <f t="shared" si="30"/>
        <v>700</v>
      </c>
      <c r="O167" s="278"/>
      <c r="P167" s="57"/>
      <c r="Q167" s="133"/>
      <c r="R167" s="172"/>
      <c r="S167" s="96"/>
      <c r="T167" s="119"/>
      <c r="U167" s="119"/>
      <c r="V167" s="119"/>
      <c r="W167" s="119"/>
      <c r="X167" s="57"/>
    </row>
    <row r="168" spans="1:24" ht="26.25">
      <c r="A168" s="20">
        <f t="shared" si="23"/>
        <v>160</v>
      </c>
      <c r="B168" s="21" t="s">
        <v>31</v>
      </c>
      <c r="C168" s="22" t="s">
        <v>1124</v>
      </c>
      <c r="D168" s="23" t="s">
        <v>193</v>
      </c>
      <c r="E168" s="24" t="s">
        <v>379</v>
      </c>
      <c r="F168" s="25">
        <v>4</v>
      </c>
      <c r="G168" s="26">
        <v>3730600596476</v>
      </c>
      <c r="H168" s="27">
        <v>213670</v>
      </c>
      <c r="I168" s="55">
        <f t="shared" si="26"/>
        <v>74</v>
      </c>
      <c r="J168" s="94">
        <f t="shared" si="27"/>
        <v>8</v>
      </c>
      <c r="K168" s="94">
        <f t="shared" si="28"/>
        <v>29</v>
      </c>
      <c r="L168" s="94" t="str">
        <f t="shared" si="29"/>
        <v>74 ปี  8 เดือน  29 วัน</v>
      </c>
      <c r="M168" s="38">
        <f t="shared" si="30"/>
        <v>700</v>
      </c>
      <c r="N168" s="125"/>
      <c r="O168" s="301"/>
      <c r="P168" s="57"/>
      <c r="R168" s="172"/>
      <c r="S168" s="96"/>
      <c r="T168" s="119"/>
      <c r="U168" s="119"/>
      <c r="V168" s="119"/>
      <c r="W168" s="119"/>
      <c r="X168" s="57"/>
    </row>
    <row r="169" spans="1:24" ht="26.25">
      <c r="A169" s="20">
        <f t="shared" si="23"/>
        <v>161</v>
      </c>
      <c r="B169" s="21" t="s">
        <v>31</v>
      </c>
      <c r="C169" s="22" t="s">
        <v>48</v>
      </c>
      <c r="D169" s="23" t="s">
        <v>1125</v>
      </c>
      <c r="E169" s="24" t="s">
        <v>105</v>
      </c>
      <c r="F169" s="25">
        <v>4</v>
      </c>
      <c r="G169" s="26">
        <v>3730600596310</v>
      </c>
      <c r="H169" s="27">
        <v>211751</v>
      </c>
      <c r="I169" s="55">
        <f t="shared" si="26"/>
        <v>79</v>
      </c>
      <c r="J169" s="94">
        <f t="shared" si="27"/>
        <v>11</v>
      </c>
      <c r="K169" s="94">
        <f t="shared" si="28"/>
        <v>29</v>
      </c>
      <c r="L169" s="94" t="str">
        <f t="shared" si="29"/>
        <v>79 ปี  11 เดือน  29 วัน</v>
      </c>
      <c r="M169" s="38">
        <f t="shared" si="30"/>
        <v>700</v>
      </c>
      <c r="N169" s="39"/>
      <c r="O169" s="278"/>
      <c r="P169" s="57"/>
      <c r="R169" s="172"/>
      <c r="S169" s="96"/>
      <c r="T169" s="119"/>
      <c r="U169" s="119"/>
      <c r="V169" s="119"/>
      <c r="W169" s="119"/>
      <c r="X169" s="57"/>
    </row>
    <row r="170" spans="1:24" s="82" customFormat="1" ht="26.25">
      <c r="A170" s="20">
        <f t="shared" si="23"/>
        <v>162</v>
      </c>
      <c r="B170" s="21" t="s">
        <v>31</v>
      </c>
      <c r="C170" s="22" t="s">
        <v>1126</v>
      </c>
      <c r="D170" s="23" t="s">
        <v>1127</v>
      </c>
      <c r="E170" s="24" t="s">
        <v>178</v>
      </c>
      <c r="F170" s="25">
        <v>4</v>
      </c>
      <c r="G170" s="26">
        <v>3730600594911</v>
      </c>
      <c r="H170" s="27">
        <v>213304</v>
      </c>
      <c r="I170" s="55">
        <f t="shared" si="26"/>
        <v>75</v>
      </c>
      <c r="J170" s="94">
        <f t="shared" si="27"/>
        <v>8</v>
      </c>
      <c r="K170" s="94">
        <f t="shared" si="28"/>
        <v>29</v>
      </c>
      <c r="L170" s="94" t="str">
        <f t="shared" si="29"/>
        <v>75 ปี  8 เดือน  29 วัน</v>
      </c>
      <c r="M170" s="38">
        <f t="shared" si="30"/>
        <v>700</v>
      </c>
      <c r="N170" s="89"/>
      <c r="O170" s="278"/>
      <c r="P170" s="42"/>
      <c r="Q170" s="101"/>
      <c r="R170" s="172"/>
      <c r="S170" s="96"/>
      <c r="T170" s="119"/>
      <c r="U170" s="119"/>
      <c r="V170" s="119"/>
      <c r="W170" s="119"/>
      <c r="X170" s="57"/>
    </row>
    <row r="171" spans="1:24" s="57" customFormat="1" ht="26.25">
      <c r="A171" s="20">
        <f t="shared" si="23"/>
        <v>163</v>
      </c>
      <c r="B171" s="21" t="s">
        <v>30</v>
      </c>
      <c r="C171" s="22" t="s">
        <v>208</v>
      </c>
      <c r="D171" s="23" t="s">
        <v>765</v>
      </c>
      <c r="E171" s="24" t="s">
        <v>109</v>
      </c>
      <c r="F171" s="25">
        <v>4</v>
      </c>
      <c r="G171" s="26">
        <v>3730600989435</v>
      </c>
      <c r="H171" s="27">
        <v>213320</v>
      </c>
      <c r="I171" s="55">
        <f t="shared" si="26"/>
        <v>75</v>
      </c>
      <c r="J171" s="94">
        <f t="shared" si="27"/>
        <v>8</v>
      </c>
      <c r="K171" s="94">
        <f t="shared" si="28"/>
        <v>13</v>
      </c>
      <c r="L171" s="94" t="str">
        <f t="shared" si="29"/>
        <v>75 ปี  8 เดือน  13 วัน</v>
      </c>
      <c r="M171" s="38">
        <f t="shared" si="30"/>
        <v>700</v>
      </c>
      <c r="N171" s="266"/>
      <c r="O171" s="278"/>
      <c r="P171" s="42"/>
      <c r="Q171" s="101"/>
      <c r="R171" s="172"/>
      <c r="S171" s="96"/>
      <c r="T171" s="119"/>
      <c r="U171" s="119"/>
      <c r="V171" s="119"/>
      <c r="W171" s="119"/>
      <c r="X171" s="42"/>
    </row>
    <row r="172" spans="1:24" s="57" customFormat="1" ht="26.25">
      <c r="A172" s="20">
        <f t="shared" si="23"/>
        <v>164</v>
      </c>
      <c r="B172" s="21" t="s">
        <v>30</v>
      </c>
      <c r="C172" s="22" t="s">
        <v>35</v>
      </c>
      <c r="D172" s="23" t="s">
        <v>1128</v>
      </c>
      <c r="E172" s="24" t="s">
        <v>1129</v>
      </c>
      <c r="F172" s="25">
        <v>4</v>
      </c>
      <c r="G172" s="26">
        <v>3730600594384</v>
      </c>
      <c r="H172" s="27">
        <v>212254</v>
      </c>
      <c r="I172" s="55">
        <f t="shared" si="26"/>
        <v>78</v>
      </c>
      <c r="J172" s="94">
        <f t="shared" si="27"/>
        <v>7</v>
      </c>
      <c r="K172" s="94">
        <f t="shared" si="28"/>
        <v>15</v>
      </c>
      <c r="L172" s="94" t="str">
        <f t="shared" si="29"/>
        <v>78 ปี  7 เดือน  15 วัน</v>
      </c>
      <c r="M172" s="38">
        <f t="shared" si="30"/>
        <v>700</v>
      </c>
      <c r="N172" s="39"/>
      <c r="O172" s="278"/>
      <c r="P172" s="42"/>
      <c r="Q172" s="101"/>
      <c r="R172" s="172"/>
      <c r="S172" s="96"/>
      <c r="T172" s="119"/>
      <c r="U172" s="119"/>
      <c r="V172" s="119"/>
      <c r="W172" s="119"/>
      <c r="X172" s="42"/>
    </row>
    <row r="173" spans="1:24" s="57" customFormat="1" ht="26.25">
      <c r="A173" s="20">
        <f t="shared" si="23"/>
        <v>165</v>
      </c>
      <c r="B173" s="21" t="s">
        <v>30</v>
      </c>
      <c r="C173" s="22" t="s">
        <v>1130</v>
      </c>
      <c r="D173" s="23" t="s">
        <v>776</v>
      </c>
      <c r="E173" s="24" t="s">
        <v>77</v>
      </c>
      <c r="F173" s="25" t="s">
        <v>268</v>
      </c>
      <c r="G173" s="26">
        <v>3730600595291</v>
      </c>
      <c r="H173" s="27">
        <v>211843</v>
      </c>
      <c r="I173" s="55">
        <f t="shared" si="26"/>
        <v>79</v>
      </c>
      <c r="J173" s="94">
        <f t="shared" si="27"/>
        <v>8</v>
      </c>
      <c r="K173" s="94">
        <f t="shared" si="28"/>
        <v>29</v>
      </c>
      <c r="L173" s="94" t="str">
        <f t="shared" si="29"/>
        <v>79 ปี  8 เดือน  29 วัน</v>
      </c>
      <c r="M173" s="38">
        <f t="shared" si="30"/>
        <v>700</v>
      </c>
      <c r="N173" s="39"/>
      <c r="O173" s="278"/>
      <c r="P173" s="42"/>
      <c r="Q173" s="101" t="s">
        <v>1198</v>
      </c>
      <c r="R173" s="172"/>
      <c r="S173" s="96"/>
      <c r="T173" s="119"/>
      <c r="U173" s="119"/>
      <c r="V173" s="119"/>
      <c r="W173" s="119"/>
      <c r="X173" s="42"/>
    </row>
    <row r="174" spans="1:24" s="57" customFormat="1" ht="26.25">
      <c r="A174" s="20">
        <f t="shared" si="23"/>
        <v>166</v>
      </c>
      <c r="B174" s="21" t="s">
        <v>31</v>
      </c>
      <c r="C174" s="22" t="s">
        <v>1131</v>
      </c>
      <c r="D174" s="23" t="s">
        <v>1128</v>
      </c>
      <c r="E174" s="24" t="s">
        <v>1129</v>
      </c>
      <c r="F174" s="25">
        <v>4</v>
      </c>
      <c r="G174" s="26">
        <v>3749800041603</v>
      </c>
      <c r="H174" s="27">
        <v>213329</v>
      </c>
      <c r="I174" s="55">
        <f t="shared" si="26"/>
        <v>75</v>
      </c>
      <c r="J174" s="94">
        <f t="shared" si="27"/>
        <v>8</v>
      </c>
      <c r="K174" s="94">
        <f t="shared" si="28"/>
        <v>4</v>
      </c>
      <c r="L174" s="94" t="str">
        <f t="shared" si="29"/>
        <v>75 ปี  8 เดือน  4 วัน</v>
      </c>
      <c r="M174" s="38">
        <f t="shared" si="30"/>
        <v>700</v>
      </c>
      <c r="N174" s="39"/>
      <c r="O174" s="299"/>
      <c r="P174" s="42"/>
      <c r="Q174" s="101"/>
      <c r="R174" s="172"/>
      <c r="S174" s="96"/>
      <c r="T174" s="119"/>
      <c r="U174" s="119"/>
      <c r="V174" s="119"/>
      <c r="W174" s="119"/>
      <c r="X174" s="42"/>
    </row>
    <row r="175" spans="1:24" s="57" customFormat="1" ht="26.25">
      <c r="A175" s="20">
        <f t="shared" si="23"/>
        <v>167</v>
      </c>
      <c r="B175" s="21" t="s">
        <v>31</v>
      </c>
      <c r="C175" s="22" t="s">
        <v>603</v>
      </c>
      <c r="D175" s="23" t="s">
        <v>826</v>
      </c>
      <c r="E175" s="24" t="s">
        <v>1132</v>
      </c>
      <c r="F175" s="25">
        <v>4</v>
      </c>
      <c r="G175" s="26">
        <v>3730600594279</v>
      </c>
      <c r="H175" s="27">
        <v>212939</v>
      </c>
      <c r="I175" s="55">
        <f t="shared" si="26"/>
        <v>76</v>
      </c>
      <c r="J175" s="94">
        <f t="shared" si="27"/>
        <v>8</v>
      </c>
      <c r="K175" s="94">
        <f t="shared" si="28"/>
        <v>29</v>
      </c>
      <c r="L175" s="94" t="str">
        <f t="shared" si="29"/>
        <v>76 ปี  8 เดือน  29 วัน</v>
      </c>
      <c r="M175" s="38">
        <f t="shared" si="30"/>
        <v>700</v>
      </c>
      <c r="N175" s="39"/>
      <c r="O175" s="299"/>
      <c r="P175" s="42"/>
      <c r="Q175" s="101"/>
      <c r="R175" s="172"/>
      <c r="S175" s="96"/>
      <c r="T175" s="119"/>
      <c r="U175" s="119"/>
      <c r="V175" s="119"/>
      <c r="W175" s="119"/>
      <c r="X175" s="42"/>
    </row>
    <row r="176" spans="1:24" s="57" customFormat="1" ht="21">
      <c r="A176" s="20">
        <f t="shared" si="23"/>
        <v>168</v>
      </c>
      <c r="B176" s="21" t="s">
        <v>30</v>
      </c>
      <c r="C176" s="22" t="s">
        <v>1135</v>
      </c>
      <c r="D176" s="23" t="s">
        <v>1136</v>
      </c>
      <c r="E176" s="24" t="s">
        <v>1098</v>
      </c>
      <c r="F176" s="25">
        <v>4</v>
      </c>
      <c r="G176" s="26">
        <v>3730600971277</v>
      </c>
      <c r="H176" s="27">
        <v>211908</v>
      </c>
      <c r="I176" s="55">
        <f t="shared" si="26"/>
        <v>79</v>
      </c>
      <c r="J176" s="94">
        <f t="shared" si="27"/>
        <v>6</v>
      </c>
      <c r="K176" s="94">
        <f t="shared" si="28"/>
        <v>24</v>
      </c>
      <c r="L176" s="94" t="str">
        <f aca="true" t="shared" si="31" ref="L176:L215">I176&amp;" ปี  "&amp;J176&amp;" เดือน  "&amp;K176&amp;" วัน"</f>
        <v>79 ปี  6 เดือน  24 วัน</v>
      </c>
      <c r="M176" s="38">
        <f aca="true" t="shared" si="32" ref="M176:M215">IF(I176&lt;=69,600,IF(I176&lt;=79,700,IF(I176&lt;=89,800,IF(I176&gt;=90,1000))))</f>
        <v>700</v>
      </c>
      <c r="O176" s="300"/>
      <c r="Q176" s="101"/>
      <c r="R176" s="172"/>
      <c r="S176" s="96"/>
      <c r="T176" s="119"/>
      <c r="U176" s="119"/>
      <c r="V176" s="119"/>
      <c r="W176" s="119"/>
      <c r="X176" s="42"/>
    </row>
    <row r="177" spans="1:24" s="57" customFormat="1" ht="21">
      <c r="A177" s="20">
        <f t="shared" si="23"/>
        <v>169</v>
      </c>
      <c r="B177" s="136" t="s">
        <v>31</v>
      </c>
      <c r="C177" s="137" t="s">
        <v>1137</v>
      </c>
      <c r="D177" s="138" t="s">
        <v>743</v>
      </c>
      <c r="E177" s="139" t="s">
        <v>67</v>
      </c>
      <c r="F177" s="140">
        <v>4</v>
      </c>
      <c r="G177" s="141">
        <v>3730600596905</v>
      </c>
      <c r="H177" s="142">
        <v>212574</v>
      </c>
      <c r="I177" s="94">
        <f t="shared" si="26"/>
        <v>77</v>
      </c>
      <c r="J177" s="94">
        <f t="shared" si="27"/>
        <v>8</v>
      </c>
      <c r="K177" s="94">
        <f t="shared" si="28"/>
        <v>29</v>
      </c>
      <c r="L177" s="94" t="str">
        <f t="shared" si="31"/>
        <v>77 ปี  8 เดือน  29 วัน</v>
      </c>
      <c r="M177" s="143">
        <f t="shared" si="32"/>
        <v>700</v>
      </c>
      <c r="N177" s="119"/>
      <c r="O177" s="346" t="s">
        <v>1529</v>
      </c>
      <c r="P177" s="42"/>
      <c r="Q177" s="101" t="s">
        <v>1530</v>
      </c>
      <c r="R177" s="172"/>
      <c r="S177" s="96"/>
      <c r="T177" s="119"/>
      <c r="U177" s="119"/>
      <c r="V177" s="119"/>
      <c r="W177" s="119"/>
      <c r="X177" s="42"/>
    </row>
    <row r="178" spans="1:24" s="57" customFormat="1" ht="21">
      <c r="A178" s="20">
        <f t="shared" si="23"/>
        <v>170</v>
      </c>
      <c r="B178" s="21" t="s">
        <v>31</v>
      </c>
      <c r="C178" s="22" t="s">
        <v>1138</v>
      </c>
      <c r="D178" s="23" t="s">
        <v>1139</v>
      </c>
      <c r="E178" s="24" t="s">
        <v>70</v>
      </c>
      <c r="F178" s="25">
        <v>4</v>
      </c>
      <c r="G178" s="26">
        <v>3730601019111</v>
      </c>
      <c r="H178" s="27">
        <v>213525</v>
      </c>
      <c r="I178" s="28">
        <f t="shared" si="26"/>
        <v>75</v>
      </c>
      <c r="J178" s="93">
        <f t="shared" si="27"/>
        <v>1</v>
      </c>
      <c r="K178" s="93">
        <f t="shared" si="28"/>
        <v>21</v>
      </c>
      <c r="L178" s="93" t="str">
        <f t="shared" si="31"/>
        <v>75 ปี  1 เดือน  21 วัน</v>
      </c>
      <c r="M178" s="38">
        <f t="shared" si="32"/>
        <v>700</v>
      </c>
      <c r="O178" s="300"/>
      <c r="P178" s="42"/>
      <c r="Q178" s="101"/>
      <c r="R178" s="172"/>
      <c r="S178" s="96"/>
      <c r="T178" s="119"/>
      <c r="U178" s="119"/>
      <c r="V178" s="119"/>
      <c r="W178" s="119"/>
      <c r="X178" s="42"/>
    </row>
    <row r="179" spans="1:24" s="57" customFormat="1" ht="21">
      <c r="A179" s="20">
        <f t="shared" si="23"/>
        <v>171</v>
      </c>
      <c r="B179" s="21" t="s">
        <v>30</v>
      </c>
      <c r="C179" s="22" t="s">
        <v>155</v>
      </c>
      <c r="D179" s="23" t="s">
        <v>1140</v>
      </c>
      <c r="E179" s="24" t="s">
        <v>72</v>
      </c>
      <c r="F179" s="25">
        <v>4</v>
      </c>
      <c r="G179" s="26">
        <v>3730600595143</v>
      </c>
      <c r="H179" s="27">
        <v>214035</v>
      </c>
      <c r="I179" s="28">
        <f t="shared" si="26"/>
        <v>73</v>
      </c>
      <c r="J179" s="93">
        <f t="shared" si="27"/>
        <v>8</v>
      </c>
      <c r="K179" s="93">
        <f t="shared" si="28"/>
        <v>29</v>
      </c>
      <c r="L179" s="93" t="str">
        <f t="shared" si="31"/>
        <v>73 ปี  8 เดือน  29 วัน</v>
      </c>
      <c r="M179" s="38">
        <f t="shared" si="32"/>
        <v>700</v>
      </c>
      <c r="O179" s="300"/>
      <c r="P179" s="42"/>
      <c r="Q179" s="101"/>
      <c r="R179" s="172"/>
      <c r="S179" s="96"/>
      <c r="T179" s="119"/>
      <c r="U179" s="119"/>
      <c r="V179" s="119"/>
      <c r="W179" s="119"/>
      <c r="X179" s="42"/>
    </row>
    <row r="180" spans="1:23" s="57" customFormat="1" ht="21">
      <c r="A180" s="20">
        <f t="shared" si="23"/>
        <v>172</v>
      </c>
      <c r="B180" s="202" t="s">
        <v>30</v>
      </c>
      <c r="C180" s="211" t="s">
        <v>804</v>
      </c>
      <c r="D180" s="212" t="s">
        <v>805</v>
      </c>
      <c r="E180" s="205" t="s">
        <v>104</v>
      </c>
      <c r="F180" s="206">
        <v>5</v>
      </c>
      <c r="G180" s="207">
        <v>3730600598151</v>
      </c>
      <c r="H180" s="208">
        <v>215195</v>
      </c>
      <c r="I180" s="28">
        <f t="shared" si="26"/>
        <v>70</v>
      </c>
      <c r="J180" s="93">
        <f t="shared" si="27"/>
        <v>6</v>
      </c>
      <c r="K180" s="93">
        <f t="shared" si="28"/>
        <v>24</v>
      </c>
      <c r="L180" s="93" t="str">
        <f t="shared" si="31"/>
        <v>70 ปี  6 เดือน  24 วัน</v>
      </c>
      <c r="M180" s="38">
        <f t="shared" si="32"/>
        <v>700</v>
      </c>
      <c r="O180" s="300"/>
      <c r="P180" s="42"/>
      <c r="Q180" s="101"/>
      <c r="R180" s="172"/>
      <c r="S180" s="96"/>
      <c r="T180" s="119"/>
      <c r="U180" s="119"/>
      <c r="V180" s="119"/>
      <c r="W180" s="119"/>
    </row>
    <row r="181" spans="1:24" s="57" customFormat="1" ht="21">
      <c r="A181" s="20">
        <f t="shared" si="23"/>
        <v>173</v>
      </c>
      <c r="B181" s="202" t="s">
        <v>32</v>
      </c>
      <c r="C181" s="211" t="s">
        <v>42</v>
      </c>
      <c r="D181" s="212" t="s">
        <v>806</v>
      </c>
      <c r="E181" s="205" t="s">
        <v>104</v>
      </c>
      <c r="F181" s="206">
        <v>5</v>
      </c>
      <c r="G181" s="207">
        <v>3730600598142</v>
      </c>
      <c r="H181" s="208">
        <v>215227</v>
      </c>
      <c r="I181" s="28">
        <f t="shared" si="26"/>
        <v>70</v>
      </c>
      <c r="J181" s="93">
        <f t="shared" si="27"/>
        <v>5</v>
      </c>
      <c r="K181" s="93">
        <f t="shared" si="28"/>
        <v>23</v>
      </c>
      <c r="L181" s="93" t="str">
        <f t="shared" si="31"/>
        <v>70 ปี  5 เดือน  23 วัน</v>
      </c>
      <c r="M181" s="38">
        <f t="shared" si="32"/>
        <v>700</v>
      </c>
      <c r="O181" s="300"/>
      <c r="P181" s="42"/>
      <c r="Q181" s="101"/>
      <c r="R181" s="172"/>
      <c r="S181" s="96"/>
      <c r="T181" s="119"/>
      <c r="U181" s="119"/>
      <c r="V181" s="119"/>
      <c r="W181" s="119"/>
      <c r="X181" s="42"/>
    </row>
    <row r="182" spans="1:24" s="57" customFormat="1" ht="26.25">
      <c r="A182" s="20">
        <f t="shared" si="23"/>
        <v>174</v>
      </c>
      <c r="B182" s="21" t="s">
        <v>32</v>
      </c>
      <c r="C182" s="22" t="s">
        <v>803</v>
      </c>
      <c r="D182" s="23" t="s">
        <v>749</v>
      </c>
      <c r="E182" s="24" t="s">
        <v>103</v>
      </c>
      <c r="F182" s="25">
        <v>5</v>
      </c>
      <c r="G182" s="26">
        <v>3730600598061</v>
      </c>
      <c r="H182" s="27">
        <v>214891</v>
      </c>
      <c r="I182" s="55">
        <f t="shared" si="26"/>
        <v>71</v>
      </c>
      <c r="J182" s="94">
        <f t="shared" si="27"/>
        <v>4</v>
      </c>
      <c r="K182" s="94">
        <f t="shared" si="28"/>
        <v>24</v>
      </c>
      <c r="L182" s="94" t="str">
        <f t="shared" si="31"/>
        <v>71 ปี  4 เดือน  24 วัน</v>
      </c>
      <c r="M182" s="38">
        <f t="shared" si="32"/>
        <v>700</v>
      </c>
      <c r="N182" s="39"/>
      <c r="O182" s="300"/>
      <c r="P182" s="42"/>
      <c r="Q182" s="101"/>
      <c r="R182" s="172"/>
      <c r="S182" s="96"/>
      <c r="T182" s="119"/>
      <c r="U182" s="119"/>
      <c r="V182" s="119"/>
      <c r="W182" s="119"/>
      <c r="X182" s="42"/>
    </row>
    <row r="183" spans="1:24" s="57" customFormat="1" ht="26.25">
      <c r="A183" s="20">
        <f t="shared" si="23"/>
        <v>175</v>
      </c>
      <c r="B183" s="21" t="s">
        <v>30</v>
      </c>
      <c r="C183" s="22" t="s">
        <v>817</v>
      </c>
      <c r="D183" s="23" t="s">
        <v>713</v>
      </c>
      <c r="E183" s="24" t="s">
        <v>128</v>
      </c>
      <c r="F183" s="25">
        <v>5</v>
      </c>
      <c r="G183" s="26">
        <v>3730600490201</v>
      </c>
      <c r="H183" s="27">
        <v>214762</v>
      </c>
      <c r="I183" s="55">
        <f t="shared" si="26"/>
        <v>71</v>
      </c>
      <c r="J183" s="94">
        <f t="shared" si="27"/>
        <v>9</v>
      </c>
      <c r="K183" s="94">
        <f t="shared" si="28"/>
        <v>1</v>
      </c>
      <c r="L183" s="94" t="str">
        <f t="shared" si="31"/>
        <v>71 ปี  9 เดือน  1 วัน</v>
      </c>
      <c r="M183" s="38">
        <f t="shared" si="32"/>
        <v>700</v>
      </c>
      <c r="N183" s="39"/>
      <c r="O183" s="300"/>
      <c r="P183" s="42"/>
      <c r="Q183" s="101"/>
      <c r="R183" s="172"/>
      <c r="S183" s="96"/>
      <c r="T183" s="119"/>
      <c r="U183" s="119"/>
      <c r="V183" s="119"/>
      <c r="W183" s="119"/>
      <c r="X183" s="42"/>
    </row>
    <row r="184" spans="1:23" ht="26.25">
      <c r="A184" s="20">
        <f t="shared" si="23"/>
        <v>176</v>
      </c>
      <c r="B184" s="21" t="s">
        <v>30</v>
      </c>
      <c r="C184" s="22" t="s">
        <v>1147</v>
      </c>
      <c r="D184" s="23" t="s">
        <v>1148</v>
      </c>
      <c r="E184" s="24" t="s">
        <v>125</v>
      </c>
      <c r="F184" s="25">
        <v>5</v>
      </c>
      <c r="G184" s="26">
        <v>3730600489505</v>
      </c>
      <c r="H184" s="27">
        <v>214400</v>
      </c>
      <c r="I184" s="28">
        <f t="shared" si="26"/>
        <v>72</v>
      </c>
      <c r="J184" s="93">
        <f t="shared" si="27"/>
        <v>8</v>
      </c>
      <c r="K184" s="93">
        <f t="shared" si="28"/>
        <v>29</v>
      </c>
      <c r="L184" s="93" t="str">
        <f t="shared" si="31"/>
        <v>72 ปี  8 เดือน  29 วัน</v>
      </c>
      <c r="M184" s="38">
        <f t="shared" si="32"/>
        <v>700</v>
      </c>
      <c r="N184" s="261"/>
      <c r="O184" s="300"/>
      <c r="R184" s="172"/>
      <c r="S184" s="96"/>
      <c r="T184" s="119"/>
      <c r="U184" s="119"/>
      <c r="V184" s="119"/>
      <c r="W184" s="119"/>
    </row>
    <row r="185" spans="1:23" ht="26.25">
      <c r="A185" s="20">
        <f t="shared" si="23"/>
        <v>177</v>
      </c>
      <c r="B185" s="21" t="s">
        <v>31</v>
      </c>
      <c r="C185" s="22" t="s">
        <v>1149</v>
      </c>
      <c r="D185" s="23" t="s">
        <v>812</v>
      </c>
      <c r="E185" s="24" t="s">
        <v>305</v>
      </c>
      <c r="F185" s="25">
        <v>5</v>
      </c>
      <c r="G185" s="26">
        <v>3730600489858</v>
      </c>
      <c r="H185" s="27">
        <v>214400</v>
      </c>
      <c r="I185" s="55">
        <f t="shared" si="26"/>
        <v>72</v>
      </c>
      <c r="J185" s="94">
        <f t="shared" si="27"/>
        <v>8</v>
      </c>
      <c r="K185" s="94">
        <f t="shared" si="28"/>
        <v>29</v>
      </c>
      <c r="L185" s="94" t="str">
        <f t="shared" si="31"/>
        <v>72 ปี  8 เดือน  29 วัน</v>
      </c>
      <c r="M185" s="38">
        <f t="shared" si="32"/>
        <v>700</v>
      </c>
      <c r="N185" s="39"/>
      <c r="O185" s="278"/>
      <c r="R185" s="172"/>
      <c r="S185" s="96"/>
      <c r="T185" s="119"/>
      <c r="U185" s="119"/>
      <c r="V185" s="119"/>
      <c r="W185" s="119"/>
    </row>
    <row r="186" spans="1:23" ht="26.25">
      <c r="A186" s="20">
        <f t="shared" si="23"/>
        <v>178</v>
      </c>
      <c r="B186" s="21" t="s">
        <v>31</v>
      </c>
      <c r="C186" s="22" t="s">
        <v>1150</v>
      </c>
      <c r="D186" s="23" t="s">
        <v>1151</v>
      </c>
      <c r="E186" s="24" t="s">
        <v>70</v>
      </c>
      <c r="F186" s="25">
        <v>5</v>
      </c>
      <c r="G186" s="26">
        <v>3730600600007</v>
      </c>
      <c r="H186" s="27">
        <v>212574</v>
      </c>
      <c r="I186" s="55">
        <f t="shared" si="26"/>
        <v>77</v>
      </c>
      <c r="J186" s="94">
        <f t="shared" si="27"/>
        <v>8</v>
      </c>
      <c r="K186" s="94">
        <f t="shared" si="28"/>
        <v>29</v>
      </c>
      <c r="L186" s="94" t="str">
        <f t="shared" si="31"/>
        <v>77 ปี  8 เดือน  29 วัน</v>
      </c>
      <c r="M186" s="38">
        <f t="shared" si="32"/>
        <v>700</v>
      </c>
      <c r="N186" s="39"/>
      <c r="O186" s="278"/>
      <c r="R186" s="172"/>
      <c r="S186" s="96"/>
      <c r="T186" s="119"/>
      <c r="U186" s="119"/>
      <c r="V186" s="119"/>
      <c r="W186" s="119"/>
    </row>
    <row r="187" spans="1:24" s="57" customFormat="1" ht="26.25">
      <c r="A187" s="20">
        <f t="shared" si="23"/>
        <v>179</v>
      </c>
      <c r="B187" s="21" t="s">
        <v>32</v>
      </c>
      <c r="C187" s="22" t="s">
        <v>1152</v>
      </c>
      <c r="D187" s="23" t="s">
        <v>462</v>
      </c>
      <c r="E187" s="24" t="s">
        <v>781</v>
      </c>
      <c r="F187" s="25">
        <v>5</v>
      </c>
      <c r="G187" s="26">
        <v>3730600598177</v>
      </c>
      <c r="H187" s="27">
        <v>212939</v>
      </c>
      <c r="I187" s="55">
        <f t="shared" si="26"/>
        <v>76</v>
      </c>
      <c r="J187" s="94">
        <f t="shared" si="27"/>
        <v>8</v>
      </c>
      <c r="K187" s="94">
        <f t="shared" si="28"/>
        <v>29</v>
      </c>
      <c r="L187" s="94" t="str">
        <f t="shared" si="31"/>
        <v>76 ปี  8 เดือน  29 วัน</v>
      </c>
      <c r="M187" s="38">
        <f t="shared" si="32"/>
        <v>700</v>
      </c>
      <c r="N187" s="39"/>
      <c r="O187" s="278"/>
      <c r="P187" s="42"/>
      <c r="Q187" s="101"/>
      <c r="R187" s="172"/>
      <c r="S187" s="96"/>
      <c r="T187" s="119"/>
      <c r="U187" s="119"/>
      <c r="V187" s="119"/>
      <c r="W187" s="119"/>
      <c r="X187" s="42"/>
    </row>
    <row r="188" spans="1:24" ht="26.25">
      <c r="A188" s="20">
        <f t="shared" si="23"/>
        <v>180</v>
      </c>
      <c r="B188" s="21" t="s">
        <v>32</v>
      </c>
      <c r="C188" s="22" t="s">
        <v>85</v>
      </c>
      <c r="D188" s="23" t="s">
        <v>1013</v>
      </c>
      <c r="E188" s="24" t="s">
        <v>824</v>
      </c>
      <c r="F188" s="25">
        <v>5</v>
      </c>
      <c r="G188" s="26">
        <v>3730600490091</v>
      </c>
      <c r="H188" s="27">
        <v>212939</v>
      </c>
      <c r="I188" s="55">
        <f t="shared" si="26"/>
        <v>76</v>
      </c>
      <c r="J188" s="94">
        <f t="shared" si="27"/>
        <v>8</v>
      </c>
      <c r="K188" s="94">
        <f t="shared" si="28"/>
        <v>29</v>
      </c>
      <c r="L188" s="94" t="str">
        <f t="shared" si="31"/>
        <v>76 ปี  8 เดือน  29 วัน</v>
      </c>
      <c r="M188" s="38">
        <f t="shared" si="32"/>
        <v>700</v>
      </c>
      <c r="O188" s="278"/>
      <c r="P188" s="57"/>
      <c r="R188" s="172"/>
      <c r="S188" s="96"/>
      <c r="T188" s="119"/>
      <c r="U188" s="459"/>
      <c r="V188" s="459"/>
      <c r="W188" s="119"/>
      <c r="X188" s="57"/>
    </row>
    <row r="189" spans="1:24" ht="26.25">
      <c r="A189" s="20">
        <f t="shared" si="23"/>
        <v>181</v>
      </c>
      <c r="B189" s="21" t="s">
        <v>32</v>
      </c>
      <c r="C189" s="22" t="s">
        <v>1153</v>
      </c>
      <c r="D189" s="23" t="s">
        <v>1154</v>
      </c>
      <c r="E189" s="24" t="s">
        <v>1155</v>
      </c>
      <c r="F189" s="25">
        <v>5</v>
      </c>
      <c r="G189" s="26">
        <v>3730600593981</v>
      </c>
      <c r="H189" s="27">
        <v>213304</v>
      </c>
      <c r="I189" s="55">
        <f t="shared" si="26"/>
        <v>75</v>
      </c>
      <c r="J189" s="94">
        <f t="shared" si="27"/>
        <v>8</v>
      </c>
      <c r="K189" s="94">
        <f t="shared" si="28"/>
        <v>29</v>
      </c>
      <c r="L189" s="94" t="str">
        <f t="shared" si="31"/>
        <v>75 ปี  8 เดือน  29 วัน</v>
      </c>
      <c r="M189" s="38">
        <f t="shared" si="32"/>
        <v>700</v>
      </c>
      <c r="O189" s="278"/>
      <c r="P189" s="57"/>
      <c r="Q189" s="119"/>
      <c r="R189" s="172"/>
      <c r="S189" s="96"/>
      <c r="T189" s="119"/>
      <c r="U189" s="119"/>
      <c r="V189" s="176"/>
      <c r="W189" s="119"/>
      <c r="X189" s="57"/>
    </row>
    <row r="190" spans="1:24" ht="26.25">
      <c r="A190" s="20">
        <f t="shared" si="23"/>
        <v>182</v>
      </c>
      <c r="B190" s="21" t="s">
        <v>31</v>
      </c>
      <c r="C190" s="22" t="s">
        <v>56</v>
      </c>
      <c r="D190" s="23" t="s">
        <v>682</v>
      </c>
      <c r="E190" s="24" t="s">
        <v>98</v>
      </c>
      <c r="F190" s="25">
        <v>5</v>
      </c>
      <c r="G190" s="26">
        <v>3730600597324</v>
      </c>
      <c r="H190" s="27">
        <v>212209</v>
      </c>
      <c r="I190" s="55">
        <f t="shared" si="26"/>
        <v>78</v>
      </c>
      <c r="J190" s="94">
        <f t="shared" si="27"/>
        <v>8</v>
      </c>
      <c r="K190" s="94">
        <f t="shared" si="28"/>
        <v>29</v>
      </c>
      <c r="L190" s="94" t="str">
        <f t="shared" si="31"/>
        <v>78 ปี  8 เดือน  29 วัน</v>
      </c>
      <c r="M190" s="38">
        <f t="shared" si="32"/>
        <v>700</v>
      </c>
      <c r="N190" s="39"/>
      <c r="O190" s="278"/>
      <c r="P190" s="57"/>
      <c r="R190" s="172"/>
      <c r="S190" s="96"/>
      <c r="T190" s="119"/>
      <c r="U190" s="119"/>
      <c r="V190" s="119"/>
      <c r="W190" s="119"/>
      <c r="X190" s="57"/>
    </row>
    <row r="191" spans="1:24" ht="26.25">
      <c r="A191" s="20">
        <f t="shared" si="23"/>
        <v>183</v>
      </c>
      <c r="B191" s="21" t="s">
        <v>31</v>
      </c>
      <c r="C191" s="22" t="s">
        <v>1157</v>
      </c>
      <c r="D191" s="23" t="s">
        <v>1158</v>
      </c>
      <c r="E191" s="24" t="s">
        <v>1159</v>
      </c>
      <c r="F191" s="25">
        <v>5</v>
      </c>
      <c r="G191" s="26">
        <v>3730600597570</v>
      </c>
      <c r="H191" s="27">
        <v>212214</v>
      </c>
      <c r="I191" s="55">
        <f t="shared" si="26"/>
        <v>78</v>
      </c>
      <c r="J191" s="94">
        <f t="shared" si="27"/>
        <v>8</v>
      </c>
      <c r="K191" s="94">
        <f t="shared" si="28"/>
        <v>24</v>
      </c>
      <c r="L191" s="94" t="str">
        <f t="shared" si="31"/>
        <v>78 ปี  8 เดือน  24 วัน</v>
      </c>
      <c r="M191" s="38">
        <f t="shared" si="32"/>
        <v>700</v>
      </c>
      <c r="N191" s="39"/>
      <c r="O191" s="278"/>
      <c r="P191" s="57"/>
      <c r="R191" s="172"/>
      <c r="S191" s="96"/>
      <c r="T191" s="119"/>
      <c r="U191" s="119"/>
      <c r="V191" s="119"/>
      <c r="W191" s="119"/>
      <c r="X191" s="57"/>
    </row>
    <row r="192" spans="1:24" ht="26.25">
      <c r="A192" s="20">
        <f t="shared" si="23"/>
        <v>184</v>
      </c>
      <c r="B192" s="21" t="s">
        <v>31</v>
      </c>
      <c r="C192" s="22" t="s">
        <v>627</v>
      </c>
      <c r="D192" s="23" t="s">
        <v>1160</v>
      </c>
      <c r="E192" s="24" t="s">
        <v>101</v>
      </c>
      <c r="F192" s="25">
        <v>5</v>
      </c>
      <c r="G192" s="26">
        <v>3730600597821</v>
      </c>
      <c r="H192" s="27">
        <v>213193</v>
      </c>
      <c r="I192" s="55">
        <f t="shared" si="26"/>
        <v>76</v>
      </c>
      <c r="J192" s="94">
        <f t="shared" si="27"/>
        <v>0</v>
      </c>
      <c r="K192" s="94">
        <f t="shared" si="28"/>
        <v>18</v>
      </c>
      <c r="L192" s="94" t="str">
        <f t="shared" si="31"/>
        <v>76 ปี  0 เดือน  18 วัน</v>
      </c>
      <c r="M192" s="38">
        <f t="shared" si="32"/>
        <v>700</v>
      </c>
      <c r="N192" s="39"/>
      <c r="O192" s="299"/>
      <c r="P192" s="57"/>
      <c r="R192" s="172"/>
      <c r="S192" s="96"/>
      <c r="T192" s="119"/>
      <c r="U192" s="119"/>
      <c r="V192" s="119"/>
      <c r="W192" s="119"/>
      <c r="X192" s="57"/>
    </row>
    <row r="193" spans="1:24" ht="26.25">
      <c r="A193" s="20">
        <f t="shared" si="23"/>
        <v>185</v>
      </c>
      <c r="B193" s="21" t="s">
        <v>30</v>
      </c>
      <c r="C193" s="22" t="s">
        <v>152</v>
      </c>
      <c r="D193" s="23" t="s">
        <v>1160</v>
      </c>
      <c r="E193" s="24" t="s">
        <v>101</v>
      </c>
      <c r="F193" s="25">
        <v>5</v>
      </c>
      <c r="G193" s="26">
        <v>3730600597782</v>
      </c>
      <c r="H193" s="27">
        <v>213257</v>
      </c>
      <c r="I193" s="55">
        <f t="shared" si="26"/>
        <v>75</v>
      </c>
      <c r="J193" s="94">
        <f t="shared" si="27"/>
        <v>10</v>
      </c>
      <c r="K193" s="94">
        <f t="shared" si="28"/>
        <v>15</v>
      </c>
      <c r="L193" s="94" t="str">
        <f t="shared" si="31"/>
        <v>75 ปี  10 เดือน  15 วัน</v>
      </c>
      <c r="M193" s="38">
        <f t="shared" si="32"/>
        <v>700</v>
      </c>
      <c r="N193" s="39"/>
      <c r="O193" s="299"/>
      <c r="P193" s="57"/>
      <c r="R193" s="172"/>
      <c r="S193" s="96"/>
      <c r="T193" s="119"/>
      <c r="U193" s="119"/>
      <c r="V193" s="119"/>
      <c r="W193" s="119"/>
      <c r="X193" s="57"/>
    </row>
    <row r="194" spans="1:24" ht="26.25">
      <c r="A194" s="20">
        <f t="shared" si="23"/>
        <v>186</v>
      </c>
      <c r="B194" s="21" t="s">
        <v>31</v>
      </c>
      <c r="C194" s="22" t="s">
        <v>1161</v>
      </c>
      <c r="D194" s="23" t="s">
        <v>1162</v>
      </c>
      <c r="E194" s="24" t="s">
        <v>60</v>
      </c>
      <c r="F194" s="25">
        <v>5</v>
      </c>
      <c r="G194" s="26">
        <v>3730600598011</v>
      </c>
      <c r="H194" s="27">
        <v>213252</v>
      </c>
      <c r="I194" s="55">
        <f t="shared" si="26"/>
        <v>75</v>
      </c>
      <c r="J194" s="94">
        <f t="shared" si="27"/>
        <v>10</v>
      </c>
      <c r="K194" s="94">
        <f t="shared" si="28"/>
        <v>20</v>
      </c>
      <c r="L194" s="94" t="str">
        <f t="shared" si="31"/>
        <v>75 ปี  10 เดือน  20 วัน</v>
      </c>
      <c r="M194" s="38">
        <f t="shared" si="32"/>
        <v>700</v>
      </c>
      <c r="N194" s="39"/>
      <c r="O194" s="299"/>
      <c r="P194" s="57"/>
      <c r="R194" s="172"/>
      <c r="S194" s="96"/>
      <c r="T194" s="119"/>
      <c r="U194" s="119"/>
      <c r="V194" s="119"/>
      <c r="W194" s="119"/>
      <c r="X194" s="57"/>
    </row>
    <row r="195" spans="1:24" ht="26.25">
      <c r="A195" s="20">
        <f t="shared" si="23"/>
        <v>187</v>
      </c>
      <c r="B195" s="21" t="s">
        <v>30</v>
      </c>
      <c r="C195" s="22" t="s">
        <v>299</v>
      </c>
      <c r="D195" s="23" t="s">
        <v>808</v>
      </c>
      <c r="E195" s="24" t="s">
        <v>794</v>
      </c>
      <c r="F195" s="25">
        <v>5</v>
      </c>
      <c r="G195" s="26">
        <v>3730600598274</v>
      </c>
      <c r="H195" s="27">
        <v>213018</v>
      </c>
      <c r="I195" s="55">
        <f t="shared" si="26"/>
        <v>76</v>
      </c>
      <c r="J195" s="94">
        <f t="shared" si="27"/>
        <v>6</v>
      </c>
      <c r="K195" s="94">
        <f t="shared" si="28"/>
        <v>9</v>
      </c>
      <c r="L195" s="94" t="str">
        <f t="shared" si="31"/>
        <v>76 ปี  6 เดือน  9 วัน</v>
      </c>
      <c r="M195" s="38">
        <f t="shared" si="32"/>
        <v>700</v>
      </c>
      <c r="N195" s="39"/>
      <c r="O195" s="299"/>
      <c r="P195" s="57"/>
      <c r="R195" s="172"/>
      <c r="S195" s="96"/>
      <c r="T195" s="119"/>
      <c r="U195" s="119"/>
      <c r="V195" s="119"/>
      <c r="W195" s="119"/>
      <c r="X195" s="57"/>
    </row>
    <row r="196" spans="1:24" ht="26.25">
      <c r="A196" s="20">
        <f t="shared" si="23"/>
        <v>188</v>
      </c>
      <c r="B196" s="21" t="s">
        <v>31</v>
      </c>
      <c r="C196" s="22" t="s">
        <v>1163</v>
      </c>
      <c r="D196" s="23" t="s">
        <v>1164</v>
      </c>
      <c r="E196" s="24" t="s">
        <v>1165</v>
      </c>
      <c r="F196" s="25">
        <v>5</v>
      </c>
      <c r="G196" s="26">
        <v>3730600599416</v>
      </c>
      <c r="H196" s="27">
        <v>212209</v>
      </c>
      <c r="I196" s="55">
        <f t="shared" si="26"/>
        <v>78</v>
      </c>
      <c r="J196" s="94">
        <f t="shared" si="27"/>
        <v>8</v>
      </c>
      <c r="K196" s="94">
        <f t="shared" si="28"/>
        <v>29</v>
      </c>
      <c r="L196" s="94" t="str">
        <f t="shared" si="31"/>
        <v>78 ปี  8 เดือน  29 วัน</v>
      </c>
      <c r="M196" s="38">
        <f t="shared" si="32"/>
        <v>700</v>
      </c>
      <c r="N196" s="39"/>
      <c r="O196" s="299"/>
      <c r="P196" s="57"/>
      <c r="R196" s="172"/>
      <c r="S196" s="96"/>
      <c r="T196" s="119"/>
      <c r="U196" s="119"/>
      <c r="V196" s="119"/>
      <c r="W196" s="119"/>
      <c r="X196" s="57"/>
    </row>
    <row r="197" spans="1:24" ht="26.25">
      <c r="A197" s="20">
        <f t="shared" si="23"/>
        <v>189</v>
      </c>
      <c r="B197" s="21" t="s">
        <v>31</v>
      </c>
      <c r="C197" s="22" t="s">
        <v>201</v>
      </c>
      <c r="D197" s="23" t="s">
        <v>1166</v>
      </c>
      <c r="E197" s="24" t="s">
        <v>742</v>
      </c>
      <c r="F197" s="25">
        <v>5</v>
      </c>
      <c r="G197" s="26">
        <v>3730600599483</v>
      </c>
      <c r="H197" s="27">
        <v>213649</v>
      </c>
      <c r="I197" s="28">
        <f t="shared" si="26"/>
        <v>74</v>
      </c>
      <c r="J197" s="93">
        <f t="shared" si="27"/>
        <v>9</v>
      </c>
      <c r="K197" s="93">
        <f t="shared" si="28"/>
        <v>19</v>
      </c>
      <c r="L197" s="93" t="str">
        <f t="shared" si="31"/>
        <v>74 ปี  9 เดือน  19 วัน</v>
      </c>
      <c r="M197" s="38">
        <f t="shared" si="32"/>
        <v>700</v>
      </c>
      <c r="N197" s="39"/>
      <c r="O197" s="299"/>
      <c r="P197" s="57"/>
      <c r="R197" s="172"/>
      <c r="S197" s="96"/>
      <c r="T197" s="119"/>
      <c r="U197" s="119"/>
      <c r="V197" s="119"/>
      <c r="W197" s="119"/>
      <c r="X197" s="57"/>
    </row>
    <row r="198" spans="1:24" ht="26.25">
      <c r="A198" s="20">
        <f t="shared" si="23"/>
        <v>190</v>
      </c>
      <c r="B198" s="21" t="s">
        <v>31</v>
      </c>
      <c r="C198" s="22" t="s">
        <v>143</v>
      </c>
      <c r="D198" s="23" t="s">
        <v>462</v>
      </c>
      <c r="E198" s="24" t="s">
        <v>1167</v>
      </c>
      <c r="F198" s="25">
        <v>5</v>
      </c>
      <c r="G198" s="26">
        <v>3730600599670</v>
      </c>
      <c r="H198" s="27">
        <v>211843</v>
      </c>
      <c r="I198" s="28">
        <f t="shared" si="26"/>
        <v>79</v>
      </c>
      <c r="J198" s="93">
        <f t="shared" si="27"/>
        <v>8</v>
      </c>
      <c r="K198" s="93">
        <f t="shared" si="28"/>
        <v>29</v>
      </c>
      <c r="L198" s="93" t="str">
        <f t="shared" si="31"/>
        <v>79 ปี  8 เดือน  29 วัน</v>
      </c>
      <c r="M198" s="38">
        <f t="shared" si="32"/>
        <v>700</v>
      </c>
      <c r="N198" s="39"/>
      <c r="O198" s="299"/>
      <c r="P198" s="57"/>
      <c r="R198" s="172"/>
      <c r="S198" s="96"/>
      <c r="T198" s="119"/>
      <c r="U198" s="119"/>
      <c r="V198" s="119"/>
      <c r="W198" s="119"/>
      <c r="X198" s="57"/>
    </row>
    <row r="199" spans="1:24" ht="26.25">
      <c r="A199" s="20"/>
      <c r="B199" s="136" t="s">
        <v>30</v>
      </c>
      <c r="C199" s="137" t="s">
        <v>611</v>
      </c>
      <c r="D199" s="138" t="s">
        <v>826</v>
      </c>
      <c r="E199" s="139" t="s">
        <v>1168</v>
      </c>
      <c r="F199" s="140">
        <v>5</v>
      </c>
      <c r="G199" s="141">
        <v>3730600599688</v>
      </c>
      <c r="H199" s="142">
        <v>212423</v>
      </c>
      <c r="I199" s="352">
        <v>0</v>
      </c>
      <c r="J199" s="352">
        <f t="shared" si="27"/>
        <v>1</v>
      </c>
      <c r="K199" s="352">
        <f t="shared" si="28"/>
        <v>27</v>
      </c>
      <c r="L199" s="352" t="str">
        <f t="shared" si="31"/>
        <v>0 ปี  1 เดือน  27 วัน</v>
      </c>
      <c r="M199" s="143">
        <f t="shared" si="32"/>
        <v>600</v>
      </c>
      <c r="N199" s="134"/>
      <c r="O199" s="299" t="s">
        <v>1550</v>
      </c>
      <c r="P199" s="57"/>
      <c r="R199" s="172"/>
      <c r="S199" s="96"/>
      <c r="T199" s="119"/>
      <c r="U199" s="119"/>
      <c r="V199" s="119"/>
      <c r="W199" s="119"/>
      <c r="X199" s="57"/>
    </row>
    <row r="200" spans="1:24" ht="26.25">
      <c r="A200" s="20">
        <v>191</v>
      </c>
      <c r="B200" s="21" t="s">
        <v>31</v>
      </c>
      <c r="C200" s="22" t="s">
        <v>35</v>
      </c>
      <c r="D200" s="23" t="s">
        <v>826</v>
      </c>
      <c r="E200" s="24" t="s">
        <v>1168</v>
      </c>
      <c r="F200" s="25">
        <v>5</v>
      </c>
      <c r="G200" s="26">
        <v>3730600598720</v>
      </c>
      <c r="H200" s="27">
        <v>212637</v>
      </c>
      <c r="I200" s="28">
        <f t="shared" si="26"/>
        <v>77</v>
      </c>
      <c r="J200" s="93">
        <f t="shared" si="27"/>
        <v>6</v>
      </c>
      <c r="K200" s="93">
        <f t="shared" si="28"/>
        <v>25</v>
      </c>
      <c r="L200" s="93" t="str">
        <f t="shared" si="31"/>
        <v>77 ปี  6 เดือน  25 วัน</v>
      </c>
      <c r="M200" s="38">
        <f t="shared" si="32"/>
        <v>700</v>
      </c>
      <c r="N200" s="39"/>
      <c r="O200" s="299"/>
      <c r="R200" s="172"/>
      <c r="S200" s="96"/>
      <c r="T200" s="119"/>
      <c r="U200" s="119"/>
      <c r="V200" s="119"/>
      <c r="W200" s="119"/>
      <c r="X200" s="57"/>
    </row>
    <row r="201" spans="1:27" ht="26.25">
      <c r="A201" s="20">
        <f aca="true" t="shared" si="33" ref="A201:A215">A200+1</f>
        <v>192</v>
      </c>
      <c r="B201" s="21" t="s">
        <v>1169</v>
      </c>
      <c r="C201" s="22" t="s">
        <v>1170</v>
      </c>
      <c r="D201" s="23" t="s">
        <v>438</v>
      </c>
      <c r="E201" s="24" t="s">
        <v>233</v>
      </c>
      <c r="F201" s="25">
        <v>5</v>
      </c>
      <c r="G201" s="26">
        <v>3730600489831</v>
      </c>
      <c r="H201" s="27">
        <v>212363</v>
      </c>
      <c r="I201" s="28">
        <f t="shared" si="26"/>
        <v>78</v>
      </c>
      <c r="J201" s="93">
        <f t="shared" si="27"/>
        <v>3</v>
      </c>
      <c r="K201" s="93">
        <f t="shared" si="28"/>
        <v>26</v>
      </c>
      <c r="L201" s="93" t="str">
        <f t="shared" si="31"/>
        <v>78 ปี  3 เดือน  26 วัน</v>
      </c>
      <c r="M201" s="38">
        <f t="shared" si="32"/>
        <v>700</v>
      </c>
      <c r="N201" s="261"/>
      <c r="O201" s="299"/>
      <c r="R201" s="96"/>
      <c r="S201" s="96"/>
      <c r="T201" s="119"/>
      <c r="U201" s="119"/>
      <c r="V201" s="96"/>
      <c r="W201" s="96"/>
      <c r="X201" s="57"/>
      <c r="Z201" s="459"/>
      <c r="AA201" s="459"/>
    </row>
    <row r="202" spans="1:27" ht="26.25">
      <c r="A202" s="20">
        <f t="shared" si="33"/>
        <v>193</v>
      </c>
      <c r="B202" s="21" t="s">
        <v>30</v>
      </c>
      <c r="C202" s="22" t="s">
        <v>1171</v>
      </c>
      <c r="D202" s="23" t="s">
        <v>812</v>
      </c>
      <c r="E202" s="24" t="s">
        <v>305</v>
      </c>
      <c r="F202" s="25">
        <v>5</v>
      </c>
      <c r="G202" s="26">
        <v>3730600489840</v>
      </c>
      <c r="H202" s="27">
        <v>213607</v>
      </c>
      <c r="I202" s="28">
        <f t="shared" si="26"/>
        <v>74</v>
      </c>
      <c r="J202" s="93">
        <f t="shared" si="27"/>
        <v>11</v>
      </c>
      <c r="K202" s="93">
        <f t="shared" si="28"/>
        <v>0</v>
      </c>
      <c r="L202" s="93" t="str">
        <f t="shared" si="31"/>
        <v>74 ปี  11 เดือน  0 วัน</v>
      </c>
      <c r="M202" s="38">
        <f t="shared" si="32"/>
        <v>700</v>
      </c>
      <c r="N202" s="201"/>
      <c r="O202" s="300"/>
      <c r="R202" s="96"/>
      <c r="S202" s="96"/>
      <c r="T202" s="119"/>
      <c r="U202" s="119"/>
      <c r="V202" s="172"/>
      <c r="W202" s="96"/>
      <c r="X202" s="57"/>
      <c r="Z202" s="175"/>
      <c r="AA202" s="96"/>
    </row>
    <row r="203" spans="1:27" ht="26.25">
      <c r="A203" s="20">
        <f t="shared" si="33"/>
        <v>194</v>
      </c>
      <c r="B203" s="21" t="s">
        <v>30</v>
      </c>
      <c r="C203" s="22" t="s">
        <v>937</v>
      </c>
      <c r="D203" s="23" t="s">
        <v>1172</v>
      </c>
      <c r="E203" s="24" t="s">
        <v>1173</v>
      </c>
      <c r="F203" s="25">
        <v>5</v>
      </c>
      <c r="G203" s="26">
        <v>3730600489971</v>
      </c>
      <c r="H203" s="27">
        <v>211918</v>
      </c>
      <c r="I203" s="28">
        <f t="shared" si="26"/>
        <v>79</v>
      </c>
      <c r="J203" s="93">
        <f t="shared" si="27"/>
        <v>6</v>
      </c>
      <c r="K203" s="93">
        <f t="shared" si="28"/>
        <v>14</v>
      </c>
      <c r="L203" s="93" t="str">
        <f t="shared" si="31"/>
        <v>79 ปี  6 เดือน  14 วัน</v>
      </c>
      <c r="M203" s="38">
        <f t="shared" si="32"/>
        <v>700</v>
      </c>
      <c r="N203" s="39"/>
      <c r="O203" s="278"/>
      <c r="R203" s="96"/>
      <c r="S203" s="96"/>
      <c r="T203" s="119"/>
      <c r="U203" s="119"/>
      <c r="V203" s="172"/>
      <c r="W203" s="96"/>
      <c r="Z203" s="175"/>
      <c r="AA203" s="96"/>
    </row>
    <row r="204" spans="1:27" ht="26.25">
      <c r="A204" s="20">
        <f t="shared" si="33"/>
        <v>195</v>
      </c>
      <c r="B204" s="21" t="s">
        <v>31</v>
      </c>
      <c r="C204" s="22" t="s">
        <v>882</v>
      </c>
      <c r="D204" s="23" t="s">
        <v>828</v>
      </c>
      <c r="E204" s="24" t="s">
        <v>130</v>
      </c>
      <c r="F204" s="25">
        <v>5</v>
      </c>
      <c r="G204" s="26">
        <v>3730600596972</v>
      </c>
      <c r="H204" s="27">
        <v>213670</v>
      </c>
      <c r="I204" s="28">
        <f t="shared" si="26"/>
        <v>74</v>
      </c>
      <c r="J204" s="93">
        <f t="shared" si="27"/>
        <v>8</v>
      </c>
      <c r="K204" s="93">
        <f t="shared" si="28"/>
        <v>29</v>
      </c>
      <c r="L204" s="93" t="str">
        <f t="shared" si="31"/>
        <v>74 ปี  8 เดือน  29 วัน</v>
      </c>
      <c r="M204" s="38">
        <f t="shared" si="32"/>
        <v>700</v>
      </c>
      <c r="N204" s="39"/>
      <c r="O204" s="278"/>
      <c r="R204" s="96"/>
      <c r="S204" s="96"/>
      <c r="T204" s="119"/>
      <c r="U204" s="119"/>
      <c r="V204" s="172"/>
      <c r="W204" s="96"/>
      <c r="Z204" s="175"/>
      <c r="AA204" s="96"/>
    </row>
    <row r="205" spans="1:27" ht="26.25">
      <c r="A205" s="20">
        <f t="shared" si="33"/>
        <v>196</v>
      </c>
      <c r="B205" s="238" t="s">
        <v>30</v>
      </c>
      <c r="C205" s="239" t="s">
        <v>1025</v>
      </c>
      <c r="D205" s="240" t="s">
        <v>828</v>
      </c>
      <c r="E205" s="355" t="s">
        <v>130</v>
      </c>
      <c r="F205" s="241">
        <v>5</v>
      </c>
      <c r="G205" s="236">
        <v>3730600596956</v>
      </c>
      <c r="H205" s="350">
        <v>213304</v>
      </c>
      <c r="I205" s="237">
        <f t="shared" si="26"/>
        <v>75</v>
      </c>
      <c r="J205" s="242">
        <f t="shared" si="27"/>
        <v>8</v>
      </c>
      <c r="K205" s="242">
        <f t="shared" si="28"/>
        <v>29</v>
      </c>
      <c r="L205" s="242" t="str">
        <f t="shared" si="31"/>
        <v>75 ปี  8 เดือน  29 วัน</v>
      </c>
      <c r="M205" s="356">
        <f t="shared" si="32"/>
        <v>700</v>
      </c>
      <c r="N205" s="357"/>
      <c r="O205" s="453" t="s">
        <v>1541</v>
      </c>
      <c r="R205" s="96"/>
      <c r="S205" s="96"/>
      <c r="T205" s="119"/>
      <c r="U205" s="119"/>
      <c r="V205" s="172"/>
      <c r="W205" s="96"/>
      <c r="Z205" s="175"/>
      <c r="AA205" s="96"/>
    </row>
    <row r="206" spans="1:27" ht="26.25">
      <c r="A206" s="20">
        <f t="shared" si="33"/>
        <v>197</v>
      </c>
      <c r="B206" s="21" t="s">
        <v>31</v>
      </c>
      <c r="C206" s="22" t="s">
        <v>140</v>
      </c>
      <c r="D206" s="23" t="s">
        <v>855</v>
      </c>
      <c r="E206" s="24" t="s">
        <v>351</v>
      </c>
      <c r="F206" s="25">
        <v>6</v>
      </c>
      <c r="G206" s="26">
        <v>3730600589143</v>
      </c>
      <c r="H206" s="27">
        <v>214765</v>
      </c>
      <c r="I206" s="55">
        <f aca="true" t="shared" si="34" ref="I206:I215">DATEDIF(H206,$S$21,"Y")</f>
        <v>71</v>
      </c>
      <c r="J206" s="94">
        <f aca="true" t="shared" si="35" ref="J206:J215">DATEDIF(H206,$S$21,"YM")</f>
        <v>8</v>
      </c>
      <c r="K206" s="94">
        <f aca="true" t="shared" si="36" ref="K206:K215">DATEDIF(H206,$S$21,"MD")</f>
        <v>29</v>
      </c>
      <c r="L206" s="94" t="str">
        <f t="shared" si="31"/>
        <v>71 ปี  8 เดือน  29 วัน</v>
      </c>
      <c r="M206" s="38">
        <f t="shared" si="32"/>
        <v>700</v>
      </c>
      <c r="N206" s="39"/>
      <c r="O206" s="278"/>
      <c r="Q206" s="133"/>
      <c r="R206" s="96"/>
      <c r="S206" s="96"/>
      <c r="T206" s="119"/>
      <c r="U206" s="119"/>
      <c r="V206" s="172"/>
      <c r="W206" s="96"/>
      <c r="Z206" s="459"/>
      <c r="AA206" s="459"/>
    </row>
    <row r="207" spans="1:23" ht="26.25">
      <c r="A207" s="20">
        <f t="shared" si="33"/>
        <v>198</v>
      </c>
      <c r="B207" s="21" t="s">
        <v>32</v>
      </c>
      <c r="C207" s="22" t="s">
        <v>1149</v>
      </c>
      <c r="D207" s="23" t="s">
        <v>673</v>
      </c>
      <c r="E207" s="24" t="s">
        <v>71</v>
      </c>
      <c r="F207" s="25">
        <v>6</v>
      </c>
      <c r="G207" s="26">
        <v>3730600583765</v>
      </c>
      <c r="H207" s="27">
        <v>211843</v>
      </c>
      <c r="I207" s="55">
        <f t="shared" si="34"/>
        <v>79</v>
      </c>
      <c r="J207" s="94">
        <f t="shared" si="35"/>
        <v>8</v>
      </c>
      <c r="K207" s="94">
        <f t="shared" si="36"/>
        <v>29</v>
      </c>
      <c r="L207" s="94" t="str">
        <f t="shared" si="31"/>
        <v>79 ปี  8 เดือน  29 วัน</v>
      </c>
      <c r="M207" s="38">
        <f t="shared" si="32"/>
        <v>700</v>
      </c>
      <c r="N207" s="39"/>
      <c r="O207" s="278"/>
      <c r="R207" s="96"/>
      <c r="S207" s="96"/>
      <c r="T207" s="119"/>
      <c r="U207" s="119"/>
      <c r="V207" s="172"/>
      <c r="W207" s="96"/>
    </row>
    <row r="208" spans="1:23" ht="26.25">
      <c r="A208" s="20">
        <f t="shared" si="33"/>
        <v>199</v>
      </c>
      <c r="B208" s="21" t="s">
        <v>30</v>
      </c>
      <c r="C208" s="22" t="s">
        <v>777</v>
      </c>
      <c r="D208" s="23" t="s">
        <v>673</v>
      </c>
      <c r="E208" s="24" t="s">
        <v>126</v>
      </c>
      <c r="F208" s="25">
        <v>6</v>
      </c>
      <c r="G208" s="26">
        <v>3730600588694</v>
      </c>
      <c r="H208" s="27">
        <v>213371</v>
      </c>
      <c r="I208" s="55">
        <f t="shared" si="34"/>
        <v>75</v>
      </c>
      <c r="J208" s="94">
        <f t="shared" si="35"/>
        <v>6</v>
      </c>
      <c r="K208" s="94">
        <f t="shared" si="36"/>
        <v>22</v>
      </c>
      <c r="L208" s="94" t="str">
        <f t="shared" si="31"/>
        <v>75 ปี  6 เดือน  22 วัน</v>
      </c>
      <c r="M208" s="38">
        <f t="shared" si="32"/>
        <v>700</v>
      </c>
      <c r="N208" s="39"/>
      <c r="O208" s="278"/>
      <c r="R208" s="96"/>
      <c r="S208" s="96"/>
      <c r="T208" s="119"/>
      <c r="U208" s="119"/>
      <c r="V208" s="172"/>
      <c r="W208" s="96"/>
    </row>
    <row r="209" spans="1:23" ht="26.25">
      <c r="A209" s="20">
        <f t="shared" si="33"/>
        <v>200</v>
      </c>
      <c r="B209" s="21" t="s">
        <v>31</v>
      </c>
      <c r="C209" s="22" t="s">
        <v>1017</v>
      </c>
      <c r="D209" s="23" t="s">
        <v>1183</v>
      </c>
      <c r="E209" s="24" t="s">
        <v>97</v>
      </c>
      <c r="F209" s="25">
        <v>6</v>
      </c>
      <c r="G209" s="26">
        <v>3730600586748</v>
      </c>
      <c r="H209" s="27">
        <v>212209</v>
      </c>
      <c r="I209" s="55">
        <f t="shared" si="34"/>
        <v>78</v>
      </c>
      <c r="J209" s="94">
        <f t="shared" si="35"/>
        <v>8</v>
      </c>
      <c r="K209" s="94">
        <f t="shared" si="36"/>
        <v>29</v>
      </c>
      <c r="L209" s="94" t="str">
        <f t="shared" si="31"/>
        <v>78 ปี  8 เดือน  29 วัน</v>
      </c>
      <c r="M209" s="38">
        <f t="shared" si="32"/>
        <v>700</v>
      </c>
      <c r="N209" s="39"/>
      <c r="O209" s="278"/>
      <c r="R209" s="96"/>
      <c r="S209" s="96"/>
      <c r="T209" s="119"/>
      <c r="U209" s="119"/>
      <c r="V209" s="172"/>
      <c r="W209" s="96"/>
    </row>
    <row r="210" spans="1:23" ht="26.25">
      <c r="A210" s="20">
        <f t="shared" si="33"/>
        <v>201</v>
      </c>
      <c r="B210" s="21" t="s">
        <v>30</v>
      </c>
      <c r="C210" s="22" t="s">
        <v>685</v>
      </c>
      <c r="D210" s="23" t="s">
        <v>1184</v>
      </c>
      <c r="E210" s="24" t="s">
        <v>70</v>
      </c>
      <c r="F210" s="25">
        <v>6</v>
      </c>
      <c r="G210" s="26">
        <v>3730600876134</v>
      </c>
      <c r="H210" s="27">
        <v>213670</v>
      </c>
      <c r="I210" s="55">
        <f t="shared" si="34"/>
        <v>74</v>
      </c>
      <c r="J210" s="94">
        <f t="shared" si="35"/>
        <v>8</v>
      </c>
      <c r="K210" s="94">
        <f t="shared" si="36"/>
        <v>29</v>
      </c>
      <c r="L210" s="94" t="str">
        <f t="shared" si="31"/>
        <v>74 ปี  8 เดือน  29 วัน</v>
      </c>
      <c r="M210" s="38">
        <f t="shared" si="32"/>
        <v>700</v>
      </c>
      <c r="N210" s="39"/>
      <c r="O210" s="278"/>
      <c r="R210" s="96"/>
      <c r="S210" s="96"/>
      <c r="T210" s="119"/>
      <c r="U210" s="119"/>
      <c r="V210" s="172"/>
      <c r="W210" s="96"/>
    </row>
    <row r="211" spans="1:23" ht="26.25">
      <c r="A211" s="20">
        <f t="shared" si="33"/>
        <v>202</v>
      </c>
      <c r="B211" s="21" t="s">
        <v>31</v>
      </c>
      <c r="C211" s="22" t="s">
        <v>204</v>
      </c>
      <c r="D211" s="23" t="s">
        <v>1181</v>
      </c>
      <c r="E211" s="24" t="s">
        <v>184</v>
      </c>
      <c r="F211" s="25">
        <v>6</v>
      </c>
      <c r="G211" s="26">
        <v>3730600588945</v>
      </c>
      <c r="H211" s="27">
        <v>213708</v>
      </c>
      <c r="I211" s="55">
        <f t="shared" si="34"/>
        <v>74</v>
      </c>
      <c r="J211" s="94">
        <f t="shared" si="35"/>
        <v>7</v>
      </c>
      <c r="K211" s="94">
        <f t="shared" si="36"/>
        <v>22</v>
      </c>
      <c r="L211" s="94" t="str">
        <f t="shared" si="31"/>
        <v>74 ปี  7 เดือน  22 วัน</v>
      </c>
      <c r="M211" s="38">
        <f t="shared" si="32"/>
        <v>700</v>
      </c>
      <c r="N211" s="39"/>
      <c r="O211" s="278"/>
      <c r="R211" s="96"/>
      <c r="S211" s="96"/>
      <c r="T211" s="119"/>
      <c r="U211" s="119"/>
      <c r="V211" s="172"/>
      <c r="W211" s="96"/>
    </row>
    <row r="212" spans="1:23" ht="26.25">
      <c r="A212" s="20">
        <f t="shared" si="33"/>
        <v>203</v>
      </c>
      <c r="B212" s="21" t="s">
        <v>31</v>
      </c>
      <c r="C212" s="22" t="s">
        <v>53</v>
      </c>
      <c r="D212" s="23" t="s">
        <v>621</v>
      </c>
      <c r="E212" s="24" t="s">
        <v>73</v>
      </c>
      <c r="F212" s="25">
        <v>6</v>
      </c>
      <c r="G212" s="26">
        <v>5730600030321</v>
      </c>
      <c r="H212" s="27">
        <v>214035</v>
      </c>
      <c r="I212" s="55">
        <f t="shared" si="34"/>
        <v>73</v>
      </c>
      <c r="J212" s="94">
        <f t="shared" si="35"/>
        <v>8</v>
      </c>
      <c r="K212" s="94">
        <f t="shared" si="36"/>
        <v>29</v>
      </c>
      <c r="L212" s="94" t="str">
        <f t="shared" si="31"/>
        <v>73 ปี  8 เดือน  29 วัน</v>
      </c>
      <c r="M212" s="38">
        <f t="shared" si="32"/>
        <v>700</v>
      </c>
      <c r="O212" s="278"/>
      <c r="R212" s="96"/>
      <c r="S212" s="96"/>
      <c r="T212" s="119"/>
      <c r="U212" s="119"/>
      <c r="V212" s="172"/>
      <c r="W212" s="96"/>
    </row>
    <row r="213" spans="1:23" ht="26.25">
      <c r="A213" s="20">
        <f t="shared" si="33"/>
        <v>204</v>
      </c>
      <c r="B213" s="21" t="s">
        <v>30</v>
      </c>
      <c r="C213" s="22" t="s">
        <v>1185</v>
      </c>
      <c r="D213" s="23" t="s">
        <v>56</v>
      </c>
      <c r="E213" s="24" t="s">
        <v>810</v>
      </c>
      <c r="F213" s="25">
        <v>6</v>
      </c>
      <c r="G213" s="26">
        <v>3730600585954</v>
      </c>
      <c r="H213" s="27">
        <v>212429</v>
      </c>
      <c r="I213" s="55">
        <f t="shared" si="34"/>
        <v>78</v>
      </c>
      <c r="J213" s="94">
        <f t="shared" si="35"/>
        <v>1</v>
      </c>
      <c r="K213" s="94">
        <f t="shared" si="36"/>
        <v>21</v>
      </c>
      <c r="L213" s="94" t="str">
        <f t="shared" si="31"/>
        <v>78 ปี  1 เดือน  21 วัน</v>
      </c>
      <c r="M213" s="38">
        <f t="shared" si="32"/>
        <v>700</v>
      </c>
      <c r="N213" s="125"/>
      <c r="O213" s="301"/>
      <c r="R213" s="96"/>
      <c r="S213" s="96"/>
      <c r="T213" s="119"/>
      <c r="U213" s="119"/>
      <c r="V213" s="172"/>
      <c r="W213" s="96"/>
    </row>
    <row r="214" spans="1:23" ht="26.25">
      <c r="A214" s="20">
        <f t="shared" si="33"/>
        <v>205</v>
      </c>
      <c r="B214" s="21" t="s">
        <v>31</v>
      </c>
      <c r="C214" s="22" t="s">
        <v>39</v>
      </c>
      <c r="D214" s="23" t="s">
        <v>1188</v>
      </c>
      <c r="E214" s="24" t="s">
        <v>689</v>
      </c>
      <c r="F214" s="25">
        <v>6</v>
      </c>
      <c r="G214" s="26">
        <v>5730600020546</v>
      </c>
      <c r="H214" s="27">
        <v>212209</v>
      </c>
      <c r="I214" s="55">
        <f t="shared" si="34"/>
        <v>78</v>
      </c>
      <c r="J214" s="94">
        <f t="shared" si="35"/>
        <v>8</v>
      </c>
      <c r="K214" s="94">
        <f t="shared" si="36"/>
        <v>29</v>
      </c>
      <c r="L214" s="94" t="str">
        <f t="shared" si="31"/>
        <v>78 ปี  8 เดือน  29 วัน</v>
      </c>
      <c r="M214" s="38">
        <f t="shared" si="32"/>
        <v>700</v>
      </c>
      <c r="N214" s="39"/>
      <c r="O214" s="278"/>
      <c r="R214" s="96"/>
      <c r="S214" s="96"/>
      <c r="T214" s="119"/>
      <c r="U214" s="119"/>
      <c r="V214" s="96"/>
      <c r="W214" s="96"/>
    </row>
    <row r="215" spans="1:23" ht="26.25">
      <c r="A215" s="20">
        <f t="shared" si="33"/>
        <v>206</v>
      </c>
      <c r="B215" s="21" t="s">
        <v>30</v>
      </c>
      <c r="C215" s="22" t="s">
        <v>204</v>
      </c>
      <c r="D215" s="23" t="s">
        <v>625</v>
      </c>
      <c r="E215" s="24" t="s">
        <v>254</v>
      </c>
      <c r="F215" s="25">
        <v>6</v>
      </c>
      <c r="G215" s="26">
        <v>3730600587795</v>
      </c>
      <c r="H215" s="27">
        <v>212574</v>
      </c>
      <c r="I215" s="55">
        <f t="shared" si="34"/>
        <v>77</v>
      </c>
      <c r="J215" s="94">
        <f t="shared" si="35"/>
        <v>8</v>
      </c>
      <c r="K215" s="94">
        <f t="shared" si="36"/>
        <v>29</v>
      </c>
      <c r="L215" s="94" t="str">
        <f t="shared" si="31"/>
        <v>77 ปี  8 เดือน  29 วัน</v>
      </c>
      <c r="M215" s="38">
        <f t="shared" si="32"/>
        <v>700</v>
      </c>
      <c r="O215" s="278"/>
      <c r="R215" s="96"/>
      <c r="S215" s="119"/>
      <c r="T215" s="119"/>
      <c r="U215" s="119"/>
      <c r="V215" s="96"/>
      <c r="W215" s="96"/>
    </row>
    <row r="216" spans="1:23" ht="26.25">
      <c r="A216" s="200"/>
      <c r="B216" s="59"/>
      <c r="C216" s="59"/>
      <c r="D216" s="59"/>
      <c r="E216" s="60"/>
      <c r="F216" s="61"/>
      <c r="G216" s="62" t="str">
        <f>"รวมผู้สูงอายุจำนวน  "&amp;A215&amp;"  ราย   เป็นเงินทั้งสิ้น   "</f>
        <v>รวมผู้สูงอายุจำนวน  206  ราย   เป็นเงินทั้งสิ้น   </v>
      </c>
      <c r="H216" s="63"/>
      <c r="I216" s="64"/>
      <c r="J216" s="95"/>
      <c r="K216" s="95"/>
      <c r="L216" s="95"/>
      <c r="M216" s="65">
        <f>SUM(M6:M215)</f>
        <v>144800</v>
      </c>
      <c r="N216" s="66"/>
      <c r="O216" s="280"/>
      <c r="R216" s="96"/>
      <c r="S216" s="119"/>
      <c r="T216" s="119"/>
      <c r="U216" s="119"/>
      <c r="V216" s="96"/>
      <c r="W216" s="96"/>
    </row>
    <row r="217" spans="1:23" ht="26.25">
      <c r="A217" s="200"/>
      <c r="B217" s="68"/>
      <c r="C217" s="68"/>
      <c r="D217" s="68"/>
      <c r="E217" s="69"/>
      <c r="F217" s="70"/>
      <c r="G217" s="71"/>
      <c r="H217" s="63"/>
      <c r="I217" s="64"/>
      <c r="J217" s="95"/>
      <c r="K217" s="95"/>
      <c r="L217" s="95"/>
      <c r="M217" s="72" t="str">
        <f>"("&amp;_xlfn.BAHTTEXT(M216)&amp;")"</f>
        <v>(หนึ่งแสนสี่หมื่นสี่พันแปดร้อยบาทถ้วน)</v>
      </c>
      <c r="N217" s="73"/>
      <c r="O217" s="303"/>
      <c r="Q217" s="101" t="s">
        <v>1198</v>
      </c>
      <c r="R217" s="96"/>
      <c r="S217" s="119"/>
      <c r="T217" s="119"/>
      <c r="U217" s="119"/>
      <c r="V217" s="96"/>
      <c r="W217" s="96"/>
    </row>
    <row r="218" spans="1:23" ht="26.25">
      <c r="A218" s="348"/>
      <c r="R218" s="96"/>
      <c r="S218" s="119"/>
      <c r="T218" s="119"/>
      <c r="U218" s="119"/>
      <c r="V218" s="96"/>
      <c r="W218" s="96"/>
    </row>
    <row r="219" spans="1:23" ht="26.25">
      <c r="A219" s="342"/>
      <c r="M219" s="52" t="s">
        <v>1198</v>
      </c>
      <c r="O219" s="337"/>
      <c r="R219" s="96"/>
      <c r="S219" s="119"/>
      <c r="T219" s="119"/>
      <c r="U219" s="119"/>
      <c r="V219" s="96"/>
      <c r="W219" s="96"/>
    </row>
    <row r="220" spans="1:23" ht="24">
      <c r="A220" s="342"/>
      <c r="J220" s="285" t="s">
        <v>1379</v>
      </c>
      <c r="K220" s="286"/>
      <c r="L220" s="287"/>
      <c r="M220" s="287"/>
      <c r="N220" s="131"/>
      <c r="O220" s="128"/>
      <c r="R220" s="96"/>
      <c r="S220" s="119"/>
      <c r="T220" s="119"/>
      <c r="U220" s="119"/>
      <c r="V220" s="96"/>
      <c r="W220" s="96"/>
    </row>
    <row r="221" spans="1:23" ht="24">
      <c r="A221" s="342"/>
      <c r="B221" s="57"/>
      <c r="C221" s="57"/>
      <c r="D221" s="57"/>
      <c r="E221" s="76"/>
      <c r="F221" s="159"/>
      <c r="G221" s="77"/>
      <c r="H221" s="58"/>
      <c r="I221" s="233"/>
      <c r="J221" s="285" t="s">
        <v>1380</v>
      </c>
      <c r="K221" s="286"/>
      <c r="L221" s="287"/>
      <c r="M221" s="287"/>
      <c r="N221" s="191"/>
      <c r="O221" s="305"/>
      <c r="R221" s="96"/>
      <c r="S221" s="119"/>
      <c r="T221" s="119"/>
      <c r="U221" s="119"/>
      <c r="V221" s="96"/>
      <c r="W221" s="96"/>
    </row>
    <row r="222" spans="1:23" ht="24">
      <c r="A222" s="342"/>
      <c r="B222" s="57"/>
      <c r="C222" s="57"/>
      <c r="D222" s="57"/>
      <c r="E222" s="76"/>
      <c r="F222" s="159"/>
      <c r="G222" s="77"/>
      <c r="H222" s="58"/>
      <c r="I222" s="233"/>
      <c r="J222" s="285" t="s">
        <v>1385</v>
      </c>
      <c r="K222" s="286"/>
      <c r="L222" s="287"/>
      <c r="M222" s="287"/>
      <c r="N222" s="233"/>
      <c r="O222" s="338"/>
      <c r="R222" s="96"/>
      <c r="S222" s="119"/>
      <c r="T222" s="119"/>
      <c r="U222" s="119"/>
      <c r="V222" s="96"/>
      <c r="W222" s="96"/>
    </row>
    <row r="223" spans="1:23" ht="26.25">
      <c r="A223" s="342"/>
      <c r="B223" s="57"/>
      <c r="C223" s="57"/>
      <c r="D223" s="57"/>
      <c r="E223" s="76"/>
      <c r="F223" s="159"/>
      <c r="G223" s="77"/>
      <c r="H223" s="58"/>
      <c r="I223" s="56"/>
      <c r="J223" s="96"/>
      <c r="K223" s="96"/>
      <c r="L223" s="96"/>
      <c r="M223" s="78"/>
      <c r="N223" s="79"/>
      <c r="O223" s="216"/>
      <c r="R223" s="96"/>
      <c r="S223" s="119"/>
      <c r="T223" s="119"/>
      <c r="U223" s="119"/>
      <c r="V223" s="96"/>
      <c r="W223" s="96"/>
    </row>
    <row r="224" spans="1:23" ht="26.25">
      <c r="A224" s="342"/>
      <c r="B224" s="57"/>
      <c r="C224" s="57"/>
      <c r="D224" s="57"/>
      <c r="E224" s="76"/>
      <c r="F224" s="159"/>
      <c r="G224" s="77"/>
      <c r="H224" s="58"/>
      <c r="I224" s="56"/>
      <c r="J224" s="96"/>
      <c r="K224" s="96"/>
      <c r="L224" s="96"/>
      <c r="M224" s="78"/>
      <c r="N224" s="79"/>
      <c r="O224" s="216"/>
      <c r="R224" s="96"/>
      <c r="S224" s="119"/>
      <c r="T224" s="119"/>
      <c r="U224" s="119"/>
      <c r="V224" s="96"/>
      <c r="W224" s="96"/>
    </row>
    <row r="225" spans="1:23" ht="26.25">
      <c r="A225" s="342"/>
      <c r="B225" s="57"/>
      <c r="C225" s="57"/>
      <c r="D225" s="57"/>
      <c r="E225" s="76"/>
      <c r="F225" s="159"/>
      <c r="G225" s="77"/>
      <c r="H225" s="58"/>
      <c r="I225" s="56"/>
      <c r="J225" s="96"/>
      <c r="K225" s="96"/>
      <c r="L225" s="96"/>
      <c r="M225" s="78"/>
      <c r="N225" s="79"/>
      <c r="O225" s="216"/>
      <c r="R225" s="96"/>
      <c r="S225" s="119"/>
      <c r="T225" s="119"/>
      <c r="U225" s="119"/>
      <c r="V225" s="96"/>
      <c r="W225" s="96"/>
    </row>
    <row r="226" spans="1:23" ht="26.25">
      <c r="A226" s="342"/>
      <c r="B226" s="57"/>
      <c r="C226" s="57"/>
      <c r="D226" s="57"/>
      <c r="E226" s="76"/>
      <c r="F226" s="159"/>
      <c r="G226" s="77"/>
      <c r="H226" s="58"/>
      <c r="I226" s="56"/>
      <c r="J226" s="96"/>
      <c r="K226" s="96"/>
      <c r="L226" s="96"/>
      <c r="M226" s="78"/>
      <c r="N226" s="79"/>
      <c r="O226" s="216"/>
      <c r="R226" s="96"/>
      <c r="S226" s="119"/>
      <c r="T226" s="119"/>
      <c r="U226" s="119"/>
      <c r="V226" s="96"/>
      <c r="W226" s="96"/>
    </row>
    <row r="227" spans="1:23" ht="26.25">
      <c r="A227" s="342"/>
      <c r="B227" s="57"/>
      <c r="C227" s="57"/>
      <c r="D227" s="57"/>
      <c r="E227" s="76"/>
      <c r="F227" s="159"/>
      <c r="G227" s="77"/>
      <c r="H227" s="58"/>
      <c r="I227" s="56"/>
      <c r="J227" s="96"/>
      <c r="K227" s="96"/>
      <c r="L227" s="96"/>
      <c r="M227" s="78"/>
      <c r="N227" s="79"/>
      <c r="O227" s="216"/>
      <c r="R227" s="96"/>
      <c r="S227" s="119"/>
      <c r="T227" s="119"/>
      <c r="U227" s="119"/>
      <c r="V227" s="96"/>
      <c r="W227" s="96"/>
    </row>
    <row r="228" spans="1:23" ht="26.25">
      <c r="A228" s="158"/>
      <c r="B228" s="57"/>
      <c r="C228" s="57"/>
      <c r="D228" s="57"/>
      <c r="E228" s="76"/>
      <c r="F228" s="159"/>
      <c r="G228" s="77"/>
      <c r="H228" s="58"/>
      <c r="I228" s="56"/>
      <c r="J228" s="96"/>
      <c r="K228" s="96"/>
      <c r="L228" s="96"/>
      <c r="M228" s="78"/>
      <c r="N228" s="79"/>
      <c r="O228" s="216"/>
      <c r="R228" s="96"/>
      <c r="S228" s="119"/>
      <c r="T228" s="119"/>
      <c r="U228" s="119"/>
      <c r="V228" s="96"/>
      <c r="W228" s="96"/>
    </row>
    <row r="229" spans="1:23" ht="26.25">
      <c r="A229" s="158"/>
      <c r="B229" s="57"/>
      <c r="C229" s="57"/>
      <c r="D229" s="57"/>
      <c r="E229" s="76"/>
      <c r="F229" s="159"/>
      <c r="G229" s="77"/>
      <c r="H229" s="58"/>
      <c r="I229" s="56"/>
      <c r="J229" s="96"/>
      <c r="K229" s="96"/>
      <c r="L229" s="96"/>
      <c r="M229" s="78"/>
      <c r="N229" s="79"/>
      <c r="O229" s="216"/>
      <c r="R229" s="96"/>
      <c r="S229" s="119"/>
      <c r="T229" s="119"/>
      <c r="U229" s="119"/>
      <c r="V229" s="96"/>
      <c r="W229" s="96"/>
    </row>
    <row r="230" spans="1:23" ht="26.25">
      <c r="A230" s="75"/>
      <c r="B230" s="57"/>
      <c r="C230" s="57"/>
      <c r="D230" s="57"/>
      <c r="E230" s="76"/>
      <c r="F230" s="159"/>
      <c r="G230" s="77"/>
      <c r="H230" s="58"/>
      <c r="I230" s="56"/>
      <c r="J230" s="96"/>
      <c r="K230" s="96"/>
      <c r="L230" s="96"/>
      <c r="M230" s="78"/>
      <c r="N230" s="79"/>
      <c r="O230" s="216"/>
      <c r="R230" s="96"/>
      <c r="S230" s="119"/>
      <c r="T230" s="119"/>
      <c r="U230" s="119"/>
      <c r="V230" s="96"/>
      <c r="W230" s="96"/>
    </row>
    <row r="231" spans="1:23" ht="26.25">
      <c r="A231" s="75"/>
      <c r="B231" s="57"/>
      <c r="C231" s="57"/>
      <c r="D231" s="57"/>
      <c r="E231" s="76"/>
      <c r="F231" s="159"/>
      <c r="G231" s="77"/>
      <c r="H231" s="58"/>
      <c r="I231" s="56"/>
      <c r="J231" s="96"/>
      <c r="K231" s="96"/>
      <c r="L231" s="96"/>
      <c r="M231" s="78"/>
      <c r="N231" s="79"/>
      <c r="O231" s="216"/>
      <c r="R231" s="96"/>
      <c r="S231" s="119"/>
      <c r="T231" s="119"/>
      <c r="U231" s="119"/>
      <c r="V231" s="96"/>
      <c r="W231" s="96"/>
    </row>
    <row r="232" ht="26.25">
      <c r="O232" s="337"/>
    </row>
    <row r="233" ht="26.25">
      <c r="O233" s="337"/>
    </row>
    <row r="234" spans="9:15" ht="23.25">
      <c r="I234" s="54"/>
      <c r="J234" s="281"/>
      <c r="K234" s="282"/>
      <c r="L234" s="283"/>
      <c r="M234" s="284"/>
      <c r="N234" s="184"/>
      <c r="O234" s="179"/>
    </row>
  </sheetData>
  <sheetProtection/>
  <mergeCells count="11">
    <mergeCell ref="Q74:T74"/>
    <mergeCell ref="B5:D5"/>
    <mergeCell ref="E5:F5"/>
    <mergeCell ref="Q4:W4"/>
    <mergeCell ref="Q3:W3"/>
    <mergeCell ref="A3:O3"/>
    <mergeCell ref="Q2:W2"/>
    <mergeCell ref="A2:O2"/>
    <mergeCell ref="Q1:Z1"/>
    <mergeCell ref="A1:O1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72" r:id="rId1"/>
  <headerFooter alignWithMargins="0">
    <oddFooter>&amp;L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E158"/>
  <sheetViews>
    <sheetView view="pageBreakPreview" zoomScale="110" zoomScaleNormal="85" zoomScaleSheetLayoutView="110" workbookViewId="0" topLeftCell="A1">
      <selection activeCell="A4" sqref="A4"/>
    </sheetView>
  </sheetViews>
  <sheetFormatPr defaultColWidth="9.140625" defaultRowHeight="12.75"/>
  <cols>
    <col min="1" max="1" width="3.7109375" style="88" bestFit="1" customWidth="1"/>
    <col min="2" max="2" width="4.57421875" style="42" customWidth="1"/>
    <col min="3" max="3" width="12.57421875" style="42" customWidth="1"/>
    <col min="4" max="4" width="12.7109375" style="42" customWidth="1"/>
    <col min="5" max="5" width="5.00390625" style="47" bestFit="1" customWidth="1"/>
    <col min="6" max="6" width="4.57421875" style="48" bestFit="1" customWidth="1"/>
    <col min="7" max="7" width="21.8515625" style="49" customWidth="1"/>
    <col min="8" max="8" width="10.8515625" style="50" bestFit="1" customWidth="1"/>
    <col min="9" max="9" width="3.7109375" style="51" bestFit="1" customWidth="1"/>
    <col min="10" max="10" width="6.421875" style="98" bestFit="1" customWidth="1"/>
    <col min="11" max="11" width="4.7109375" style="98" bestFit="1" customWidth="1"/>
    <col min="12" max="12" width="17.00390625" style="98" bestFit="1" customWidth="1"/>
    <col min="13" max="13" width="12.8515625" style="52" customWidth="1"/>
    <col min="14" max="14" width="7.421875" style="89" hidden="1" customWidth="1"/>
    <col min="15" max="15" width="21.421875" style="90" bestFit="1" customWidth="1"/>
    <col min="16" max="16" width="2.7109375" style="42" customWidth="1"/>
    <col min="17" max="17" width="10.7109375" style="101" bestFit="1" customWidth="1"/>
    <col min="18" max="18" width="10.57421875" style="98" customWidth="1"/>
    <col min="19" max="22" width="10.57421875" style="101" customWidth="1"/>
    <col min="23" max="23" width="13.140625" style="101" bestFit="1" customWidth="1"/>
    <col min="24" max="24" width="2.7109375" style="42" customWidth="1"/>
    <col min="25" max="16384" width="9.140625" style="42" customWidth="1"/>
  </cols>
  <sheetData>
    <row r="1" spans="1:23" s="1" customFormat="1" ht="23.25">
      <c r="A1" s="486" t="s">
        <v>1518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Q1" s="487" t="s">
        <v>1551</v>
      </c>
      <c r="R1" s="487"/>
      <c r="S1" s="487"/>
      <c r="T1" s="487"/>
      <c r="U1" s="487"/>
      <c r="V1" s="487"/>
      <c r="W1" s="487"/>
    </row>
    <row r="2" spans="1:23" s="1" customFormat="1" ht="23.25">
      <c r="A2" s="486" t="s">
        <v>1196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Q2" s="487" t="s">
        <v>1196</v>
      </c>
      <c r="R2" s="487"/>
      <c r="S2" s="487"/>
      <c r="T2" s="487"/>
      <c r="U2" s="487"/>
      <c r="V2" s="487"/>
      <c r="W2" s="487"/>
    </row>
    <row r="3" spans="1:23" s="1" customFormat="1" ht="23.25">
      <c r="A3" s="488">
        <v>241122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Q3" s="487">
        <v>241122</v>
      </c>
      <c r="R3" s="487"/>
      <c r="S3" s="487"/>
      <c r="T3" s="487"/>
      <c r="U3" s="487"/>
      <c r="V3" s="487"/>
      <c r="W3" s="487"/>
    </row>
    <row r="4" spans="1:23" s="4" customFormat="1" ht="8.25">
      <c r="A4" s="2"/>
      <c r="B4" s="3"/>
      <c r="F4" s="5"/>
      <c r="J4" s="91"/>
      <c r="K4" s="91"/>
      <c r="L4" s="91"/>
      <c r="M4" s="6"/>
      <c r="N4" s="6"/>
      <c r="O4" s="6"/>
      <c r="Q4" s="483" t="s">
        <v>17</v>
      </c>
      <c r="R4" s="484"/>
      <c r="S4" s="484"/>
      <c r="T4" s="484"/>
      <c r="U4" s="484"/>
      <c r="V4" s="484"/>
      <c r="W4" s="484"/>
    </row>
    <row r="5" spans="1:24" s="1" customFormat="1" ht="49.5">
      <c r="A5" s="7" t="s">
        <v>10</v>
      </c>
      <c r="B5" s="491" t="s">
        <v>11</v>
      </c>
      <c r="C5" s="492"/>
      <c r="D5" s="493"/>
      <c r="E5" s="491" t="s">
        <v>12</v>
      </c>
      <c r="F5" s="493"/>
      <c r="G5" s="8" t="s">
        <v>19</v>
      </c>
      <c r="H5" s="9" t="s">
        <v>24</v>
      </c>
      <c r="I5" s="8" t="s">
        <v>14</v>
      </c>
      <c r="J5" s="92" t="s">
        <v>13</v>
      </c>
      <c r="K5" s="92" t="s">
        <v>26</v>
      </c>
      <c r="L5" s="92" t="s">
        <v>27</v>
      </c>
      <c r="M5" s="10" t="s">
        <v>18</v>
      </c>
      <c r="N5" s="11"/>
      <c r="O5" s="12" t="s">
        <v>20</v>
      </c>
      <c r="P5" s="13"/>
      <c r="Q5" s="14" t="s">
        <v>21</v>
      </c>
      <c r="R5" s="15" t="s">
        <v>5</v>
      </c>
      <c r="S5" s="16" t="s">
        <v>3</v>
      </c>
      <c r="T5" s="15" t="s">
        <v>4</v>
      </c>
      <c r="U5" s="15" t="s">
        <v>6</v>
      </c>
      <c r="V5" s="17" t="s">
        <v>15</v>
      </c>
      <c r="W5" s="18" t="s">
        <v>16</v>
      </c>
      <c r="X5" s="19"/>
    </row>
    <row r="6" spans="1:24" s="1" customFormat="1" ht="26.25">
      <c r="A6" s="335">
        <v>1</v>
      </c>
      <c r="B6" s="202" t="s">
        <v>30</v>
      </c>
      <c r="C6" s="209" t="s">
        <v>165</v>
      </c>
      <c r="D6" s="210" t="s">
        <v>939</v>
      </c>
      <c r="E6" s="205" t="s">
        <v>940</v>
      </c>
      <c r="F6" s="206">
        <v>1</v>
      </c>
      <c r="G6" s="207">
        <v>3730600581452</v>
      </c>
      <c r="H6" s="27">
        <v>211689</v>
      </c>
      <c r="I6" s="28">
        <f aca="true" t="shared" si="0" ref="I6:I50">DATEDIF(H6,$S$23,"Y")</f>
        <v>80</v>
      </c>
      <c r="J6" s="93">
        <f aca="true" t="shared" si="1" ref="J6:J50">DATEDIF(H6,$S$23,"YM")</f>
        <v>1</v>
      </c>
      <c r="K6" s="93">
        <f aca="true" t="shared" si="2" ref="K6:K50">DATEDIF(H6,$S$23,"MD")</f>
        <v>30</v>
      </c>
      <c r="L6" s="93" t="str">
        <f>I6&amp;" ปี  "&amp;J6&amp;" เดือน  "&amp;K6&amp;" วัน"</f>
        <v>80 ปี  1 เดือน  30 วัน</v>
      </c>
      <c r="M6" s="38">
        <f>IF(I6&lt;=69,600,IF(I6&lt;=79,700,IF(I6&lt;=89,800,IF(I6&gt;=90,1000))))</f>
        <v>800</v>
      </c>
      <c r="N6" s="11"/>
      <c r="O6" s="244"/>
      <c r="P6" s="13"/>
      <c r="Q6" s="330"/>
      <c r="R6" s="331"/>
      <c r="S6" s="332"/>
      <c r="T6" s="331"/>
      <c r="U6" s="331"/>
      <c r="V6" s="333"/>
      <c r="W6" s="334"/>
      <c r="X6" s="19"/>
    </row>
    <row r="7" spans="1:24" s="1" customFormat="1" ht="26.25">
      <c r="A7" s="20">
        <f aca="true" t="shared" si="3" ref="A7:A70">A6+1</f>
        <v>2</v>
      </c>
      <c r="B7" s="202" t="s">
        <v>30</v>
      </c>
      <c r="C7" s="209" t="s">
        <v>954</v>
      </c>
      <c r="D7" s="210" t="s">
        <v>955</v>
      </c>
      <c r="E7" s="205" t="s">
        <v>956</v>
      </c>
      <c r="F7" s="206">
        <v>1</v>
      </c>
      <c r="G7" s="207">
        <v>3101203238359</v>
      </c>
      <c r="H7" s="27">
        <v>211417</v>
      </c>
      <c r="I7" s="28">
        <f t="shared" si="0"/>
        <v>80</v>
      </c>
      <c r="J7" s="93">
        <f t="shared" si="1"/>
        <v>10</v>
      </c>
      <c r="K7" s="93">
        <f t="shared" si="2"/>
        <v>29</v>
      </c>
      <c r="L7" s="93" t="str">
        <f>I7&amp;" ปี  "&amp;J7&amp;" เดือน  "&amp;K7&amp;" วัน"</f>
        <v>80 ปี  10 เดือน  29 วัน</v>
      </c>
      <c r="M7" s="38">
        <f>IF(I7&lt;=69,600,IF(I7&lt;=79,700,IF(I7&lt;=89,800,IF(I7&gt;=90,1000))))</f>
        <v>800</v>
      </c>
      <c r="N7" s="11"/>
      <c r="O7" s="244"/>
      <c r="P7" s="13"/>
      <c r="Q7" s="336">
        <v>1</v>
      </c>
      <c r="R7" s="33">
        <f>V26</f>
        <v>0</v>
      </c>
      <c r="S7" s="34">
        <f>V27</f>
        <v>0</v>
      </c>
      <c r="T7" s="33">
        <f>V28</f>
        <v>34</v>
      </c>
      <c r="U7" s="33">
        <f>V29</f>
        <v>0</v>
      </c>
      <c r="V7" s="33">
        <f>V30</f>
        <v>34</v>
      </c>
      <c r="W7" s="37">
        <f aca="true" t="shared" si="4" ref="W7:W12">(R7*600)+(S7*700)+(T7*800)+(U7*1000)</f>
        <v>27200</v>
      </c>
      <c r="X7" s="19"/>
    </row>
    <row r="8" spans="1:24" s="1" customFormat="1" ht="26.25">
      <c r="A8" s="20">
        <f t="shared" si="3"/>
        <v>3</v>
      </c>
      <c r="B8" s="202" t="s">
        <v>30</v>
      </c>
      <c r="C8" s="211" t="s">
        <v>992</v>
      </c>
      <c r="D8" s="212" t="s">
        <v>988</v>
      </c>
      <c r="E8" s="205" t="s">
        <v>989</v>
      </c>
      <c r="F8" s="206">
        <v>1</v>
      </c>
      <c r="G8" s="207">
        <v>3100800152313</v>
      </c>
      <c r="H8" s="27">
        <v>211573</v>
      </c>
      <c r="I8" s="28">
        <f t="shared" si="0"/>
        <v>80</v>
      </c>
      <c r="J8" s="93">
        <f t="shared" si="1"/>
        <v>5</v>
      </c>
      <c r="K8" s="93">
        <f t="shared" si="2"/>
        <v>24</v>
      </c>
      <c r="L8" s="93" t="str">
        <f>I8&amp;" ปี  "&amp;J8&amp;" เดือน  "&amp;K8&amp;" วัน"</f>
        <v>80 ปี  5 เดือน  24 วัน</v>
      </c>
      <c r="M8" s="38">
        <f>IF(I8&lt;=69,600,IF(I8&lt;=79,700,IF(I8&lt;=89,800,IF(I8&gt;=90,1000))))</f>
        <v>800</v>
      </c>
      <c r="N8" s="11"/>
      <c r="O8" s="340"/>
      <c r="P8" s="13"/>
      <c r="Q8" s="36">
        <v>2</v>
      </c>
      <c r="R8" s="33">
        <v>0</v>
      </c>
      <c r="S8" s="34">
        <v>0</v>
      </c>
      <c r="T8" s="33">
        <f>V42</f>
        <v>11</v>
      </c>
      <c r="U8" s="34">
        <v>0</v>
      </c>
      <c r="V8" s="33">
        <f>V44</f>
        <v>11</v>
      </c>
      <c r="W8" s="37">
        <f t="shared" si="4"/>
        <v>8800</v>
      </c>
      <c r="X8" s="19"/>
    </row>
    <row r="9" spans="1:23" s="1" customFormat="1" ht="23.25">
      <c r="A9" s="20">
        <f t="shared" si="3"/>
        <v>4</v>
      </c>
      <c r="B9" s="21" t="s">
        <v>31</v>
      </c>
      <c r="C9" s="123" t="s">
        <v>891</v>
      </c>
      <c r="D9" s="124" t="s">
        <v>892</v>
      </c>
      <c r="E9" s="24" t="s">
        <v>893</v>
      </c>
      <c r="F9" s="25">
        <v>1</v>
      </c>
      <c r="G9" s="26">
        <v>3730600121451</v>
      </c>
      <c r="H9" s="27">
        <v>211238</v>
      </c>
      <c r="I9" s="28">
        <f t="shared" si="0"/>
        <v>81</v>
      </c>
      <c r="J9" s="93">
        <f t="shared" si="1"/>
        <v>4</v>
      </c>
      <c r="K9" s="93">
        <f t="shared" si="2"/>
        <v>24</v>
      </c>
      <c r="L9" s="93" t="str">
        <f aca="true" t="shared" si="5" ref="L9:L38">I9&amp;" ปี  "&amp;J9&amp;" เดือน  "&amp;K9&amp;" วัน"</f>
        <v>81 ปี  4 เดือน  24 วัน</v>
      </c>
      <c r="M9" s="29">
        <f aca="true" t="shared" si="6" ref="M9:M38">IF(I9&lt;=69,600,IF(I9&lt;=79,700,IF(I9&lt;=89,800,IF(I9&gt;=90,1000))))</f>
        <v>800</v>
      </c>
      <c r="N9" s="199"/>
      <c r="O9" s="244"/>
      <c r="P9" s="31"/>
      <c r="Q9" s="36">
        <v>3</v>
      </c>
      <c r="R9" s="33">
        <v>0</v>
      </c>
      <c r="S9" s="33">
        <v>0</v>
      </c>
      <c r="T9" s="33">
        <f>V56</f>
        <v>20</v>
      </c>
      <c r="U9" s="33">
        <v>0</v>
      </c>
      <c r="V9" s="33">
        <f>V58</f>
        <v>20</v>
      </c>
      <c r="W9" s="37">
        <f t="shared" si="4"/>
        <v>16000</v>
      </c>
    </row>
    <row r="10" spans="1:23" s="1" customFormat="1" ht="23.25">
      <c r="A10" s="20">
        <f t="shared" si="3"/>
        <v>5</v>
      </c>
      <c r="B10" s="21" t="s">
        <v>30</v>
      </c>
      <c r="C10" s="123" t="s">
        <v>685</v>
      </c>
      <c r="D10" s="124" t="s">
        <v>275</v>
      </c>
      <c r="E10" s="24" t="s">
        <v>868</v>
      </c>
      <c r="F10" s="25">
        <v>1</v>
      </c>
      <c r="G10" s="26">
        <v>3730600575177</v>
      </c>
      <c r="H10" s="27">
        <v>211338</v>
      </c>
      <c r="I10" s="28">
        <f t="shared" si="0"/>
        <v>81</v>
      </c>
      <c r="J10" s="93">
        <f t="shared" si="1"/>
        <v>1</v>
      </c>
      <c r="K10" s="93">
        <f t="shared" si="2"/>
        <v>16</v>
      </c>
      <c r="L10" s="93" t="str">
        <f t="shared" si="5"/>
        <v>81 ปี  1 เดือน  16 วัน</v>
      </c>
      <c r="M10" s="29">
        <f t="shared" si="6"/>
        <v>800</v>
      </c>
      <c r="N10" s="199"/>
      <c r="O10" s="244"/>
      <c r="P10" s="31"/>
      <c r="Q10" s="36">
        <v>4</v>
      </c>
      <c r="R10" s="33">
        <f>$V141</f>
        <v>0</v>
      </c>
      <c r="S10" s="33">
        <f>$V142</f>
        <v>0</v>
      </c>
      <c r="T10" s="33">
        <f>V74</f>
        <v>10</v>
      </c>
      <c r="U10" s="33">
        <v>0</v>
      </c>
      <c r="V10" s="33">
        <f>V76</f>
        <v>10</v>
      </c>
      <c r="W10" s="37">
        <f t="shared" si="4"/>
        <v>8000</v>
      </c>
    </row>
    <row r="11" spans="1:23" s="1" customFormat="1" ht="23.25">
      <c r="A11" s="20">
        <f t="shared" si="3"/>
        <v>6</v>
      </c>
      <c r="B11" s="21" t="s">
        <v>31</v>
      </c>
      <c r="C11" s="121" t="s">
        <v>91</v>
      </c>
      <c r="D11" s="122" t="s">
        <v>913</v>
      </c>
      <c r="E11" s="24" t="s">
        <v>181</v>
      </c>
      <c r="F11" s="25">
        <v>1</v>
      </c>
      <c r="G11" s="26">
        <v>3730600576106</v>
      </c>
      <c r="H11" s="27">
        <v>211101</v>
      </c>
      <c r="I11" s="28">
        <f t="shared" si="0"/>
        <v>81</v>
      </c>
      <c r="J11" s="93">
        <f t="shared" si="1"/>
        <v>9</v>
      </c>
      <c r="K11" s="93">
        <f t="shared" si="2"/>
        <v>10</v>
      </c>
      <c r="L11" s="93" t="str">
        <f t="shared" si="5"/>
        <v>81 ปี  9 เดือน  10 วัน</v>
      </c>
      <c r="M11" s="29">
        <f t="shared" si="6"/>
        <v>800</v>
      </c>
      <c r="N11" s="199"/>
      <c r="O11" s="244"/>
      <c r="P11" s="31"/>
      <c r="Q11" s="36">
        <v>5</v>
      </c>
      <c r="R11" s="33">
        <v>0</v>
      </c>
      <c r="S11" s="33">
        <v>0</v>
      </c>
      <c r="T11" s="33">
        <f>V88</f>
        <v>10</v>
      </c>
      <c r="U11" s="33">
        <v>0</v>
      </c>
      <c r="V11" s="33">
        <f>V90</f>
        <v>10</v>
      </c>
      <c r="W11" s="37">
        <f t="shared" si="4"/>
        <v>8000</v>
      </c>
    </row>
    <row r="12" spans="1:23" s="1" customFormat="1" ht="23.25">
      <c r="A12" s="20">
        <f t="shared" si="3"/>
        <v>7</v>
      </c>
      <c r="B12" s="21" t="s">
        <v>31</v>
      </c>
      <c r="C12" s="22" t="s">
        <v>243</v>
      </c>
      <c r="D12" s="23" t="s">
        <v>923</v>
      </c>
      <c r="E12" s="24" t="s">
        <v>742</v>
      </c>
      <c r="F12" s="25">
        <v>1</v>
      </c>
      <c r="G12" s="26">
        <v>3730600577692</v>
      </c>
      <c r="H12" s="27">
        <v>211148</v>
      </c>
      <c r="I12" s="28">
        <f t="shared" si="0"/>
        <v>81</v>
      </c>
      <c r="J12" s="93">
        <f t="shared" si="1"/>
        <v>7</v>
      </c>
      <c r="K12" s="93">
        <f t="shared" si="2"/>
        <v>25</v>
      </c>
      <c r="L12" s="93" t="str">
        <f t="shared" si="5"/>
        <v>81 ปี  7 เดือน  25 วัน</v>
      </c>
      <c r="M12" s="29">
        <f t="shared" si="6"/>
        <v>800</v>
      </c>
      <c r="N12" s="199"/>
      <c r="O12" s="244"/>
      <c r="P12" s="31"/>
      <c r="Q12" s="36">
        <v>6</v>
      </c>
      <c r="R12" s="33">
        <v>0</v>
      </c>
      <c r="S12" s="34">
        <v>0</v>
      </c>
      <c r="T12" s="33">
        <f>$V102</f>
        <v>11</v>
      </c>
      <c r="U12" s="33">
        <v>0</v>
      </c>
      <c r="V12" s="33">
        <f>$V104</f>
        <v>11</v>
      </c>
      <c r="W12" s="37">
        <f t="shared" si="4"/>
        <v>8800</v>
      </c>
    </row>
    <row r="13" spans="1:23" s="1" customFormat="1" ht="26.25">
      <c r="A13" s="20">
        <f t="shared" si="3"/>
        <v>8</v>
      </c>
      <c r="B13" s="136" t="s">
        <v>30</v>
      </c>
      <c r="C13" s="137" t="s">
        <v>55</v>
      </c>
      <c r="D13" s="138" t="s">
        <v>970</v>
      </c>
      <c r="E13" s="24" t="s">
        <v>971</v>
      </c>
      <c r="F13" s="25">
        <v>1</v>
      </c>
      <c r="G13" s="26">
        <v>3529900067690</v>
      </c>
      <c r="H13" s="27">
        <v>211193</v>
      </c>
      <c r="I13" s="28">
        <f t="shared" si="0"/>
        <v>81</v>
      </c>
      <c r="J13" s="93">
        <f t="shared" si="1"/>
        <v>6</v>
      </c>
      <c r="K13" s="93">
        <f t="shared" si="2"/>
        <v>8</v>
      </c>
      <c r="L13" s="93" t="str">
        <f t="shared" si="5"/>
        <v>81 ปี  6 เดือน  8 วัน</v>
      </c>
      <c r="M13" s="29">
        <f t="shared" si="6"/>
        <v>800</v>
      </c>
      <c r="N13" s="199"/>
      <c r="O13" s="340" t="s">
        <v>1535</v>
      </c>
      <c r="P13" s="31"/>
      <c r="Q13" s="36"/>
      <c r="R13" s="33"/>
      <c r="S13" s="34"/>
      <c r="T13" s="33"/>
      <c r="U13" s="33"/>
      <c r="V13" s="33"/>
      <c r="W13" s="37"/>
    </row>
    <row r="14" spans="1:26" s="1" customFormat="1" ht="23.25">
      <c r="A14" s="20">
        <f t="shared" si="3"/>
        <v>9</v>
      </c>
      <c r="B14" s="21" t="s">
        <v>31</v>
      </c>
      <c r="C14" s="22" t="s">
        <v>998</v>
      </c>
      <c r="D14" s="23" t="s">
        <v>999</v>
      </c>
      <c r="E14" s="24" t="s">
        <v>645</v>
      </c>
      <c r="F14" s="25">
        <v>1</v>
      </c>
      <c r="G14" s="26">
        <v>3730600579199</v>
      </c>
      <c r="H14" s="27">
        <v>211113</v>
      </c>
      <c r="I14" s="28">
        <f t="shared" si="0"/>
        <v>81</v>
      </c>
      <c r="J14" s="93">
        <f t="shared" si="1"/>
        <v>8</v>
      </c>
      <c r="K14" s="93">
        <f t="shared" si="2"/>
        <v>29</v>
      </c>
      <c r="L14" s="93" t="str">
        <f t="shared" si="5"/>
        <v>81 ปี  8 เดือน  29 วัน</v>
      </c>
      <c r="M14" s="29">
        <f t="shared" si="6"/>
        <v>800</v>
      </c>
      <c r="N14" s="199"/>
      <c r="O14" s="244"/>
      <c r="P14" s="31"/>
      <c r="Q14" s="36"/>
      <c r="R14" s="33"/>
      <c r="S14" s="34"/>
      <c r="T14" s="33"/>
      <c r="U14" s="33"/>
      <c r="V14" s="33"/>
      <c r="W14" s="37"/>
      <c r="Z14" s="1" t="s">
        <v>1198</v>
      </c>
    </row>
    <row r="15" spans="1:23" s="1" customFormat="1" ht="26.25">
      <c r="A15" s="20">
        <f t="shared" si="3"/>
        <v>10</v>
      </c>
      <c r="B15" s="21" t="s">
        <v>30</v>
      </c>
      <c r="C15" s="121" t="s">
        <v>1003</v>
      </c>
      <c r="D15" s="122" t="s">
        <v>917</v>
      </c>
      <c r="E15" s="24" t="s">
        <v>65</v>
      </c>
      <c r="F15" s="25">
        <v>1</v>
      </c>
      <c r="G15" s="26">
        <v>3730600577030</v>
      </c>
      <c r="H15" s="27">
        <v>210984</v>
      </c>
      <c r="I15" s="28">
        <f t="shared" si="0"/>
        <v>82</v>
      </c>
      <c r="J15" s="93">
        <f t="shared" si="1"/>
        <v>1</v>
      </c>
      <c r="K15" s="93">
        <f t="shared" si="2"/>
        <v>5</v>
      </c>
      <c r="L15" s="93" t="str">
        <f t="shared" si="5"/>
        <v>82 ปี  1 เดือน  5 วัน</v>
      </c>
      <c r="M15" s="29">
        <f t="shared" si="6"/>
        <v>800</v>
      </c>
      <c r="N15" s="30"/>
      <c r="O15" s="245"/>
      <c r="P15" s="31"/>
      <c r="Q15" s="36"/>
      <c r="R15" s="33"/>
      <c r="S15" s="33"/>
      <c r="T15" s="33"/>
      <c r="U15" s="33"/>
      <c r="V15" s="33"/>
      <c r="W15" s="37"/>
    </row>
    <row r="16" spans="1:25" s="1" customFormat="1" ht="26.25">
      <c r="A16" s="20">
        <f t="shared" si="3"/>
        <v>11</v>
      </c>
      <c r="B16" s="21" t="s">
        <v>31</v>
      </c>
      <c r="C16" s="123" t="s">
        <v>195</v>
      </c>
      <c r="D16" s="124" t="s">
        <v>1004</v>
      </c>
      <c r="E16" s="24" t="s">
        <v>1005</v>
      </c>
      <c r="F16" s="25">
        <v>1</v>
      </c>
      <c r="G16" s="26">
        <v>3820800148751</v>
      </c>
      <c r="H16" s="27">
        <v>210748</v>
      </c>
      <c r="I16" s="28">
        <f t="shared" si="0"/>
        <v>82</v>
      </c>
      <c r="J16" s="93">
        <f t="shared" si="1"/>
        <v>8</v>
      </c>
      <c r="K16" s="93">
        <f t="shared" si="2"/>
        <v>29</v>
      </c>
      <c r="L16" s="93" t="str">
        <f t="shared" si="5"/>
        <v>82 ปี  8 เดือน  29 วัน</v>
      </c>
      <c r="M16" s="29">
        <f t="shared" si="6"/>
        <v>800</v>
      </c>
      <c r="N16" s="30"/>
      <c r="O16" s="246"/>
      <c r="P16" s="31"/>
      <c r="Q16" s="36"/>
      <c r="R16" s="33"/>
      <c r="S16" s="33"/>
      <c r="T16" s="33"/>
      <c r="U16" s="33"/>
      <c r="V16" s="33"/>
      <c r="W16" s="37"/>
      <c r="Y16" s="1" t="s">
        <v>1198</v>
      </c>
    </row>
    <row r="17" spans="1:23" s="1" customFormat="1" ht="26.25">
      <c r="A17" s="20">
        <f t="shared" si="3"/>
        <v>12</v>
      </c>
      <c r="B17" s="21" t="s">
        <v>30</v>
      </c>
      <c r="C17" s="123" t="s">
        <v>1006</v>
      </c>
      <c r="D17" s="124" t="s">
        <v>921</v>
      </c>
      <c r="E17" s="24" t="s">
        <v>257</v>
      </c>
      <c r="F17" s="25">
        <v>1</v>
      </c>
      <c r="G17" s="26">
        <v>3730600579075</v>
      </c>
      <c r="H17" s="27">
        <v>210792</v>
      </c>
      <c r="I17" s="28">
        <f t="shared" si="0"/>
        <v>82</v>
      </c>
      <c r="J17" s="93">
        <f t="shared" si="1"/>
        <v>7</v>
      </c>
      <c r="K17" s="93">
        <f t="shared" si="2"/>
        <v>16</v>
      </c>
      <c r="L17" s="93" t="str">
        <f t="shared" si="5"/>
        <v>82 ปี  7 เดือน  16 วัน</v>
      </c>
      <c r="M17" s="38">
        <f t="shared" si="6"/>
        <v>800</v>
      </c>
      <c r="N17" s="39"/>
      <c r="O17" s="247"/>
      <c r="P17" s="31"/>
      <c r="Q17" s="36"/>
      <c r="R17" s="33"/>
      <c r="S17" s="33"/>
      <c r="T17" s="33"/>
      <c r="U17" s="33"/>
      <c r="V17" s="33"/>
      <c r="W17" s="37"/>
    </row>
    <row r="18" spans="1:23" s="1" customFormat="1" ht="26.25">
      <c r="A18" s="20">
        <f t="shared" si="3"/>
        <v>13</v>
      </c>
      <c r="B18" s="21" t="s">
        <v>31</v>
      </c>
      <c r="C18" s="121" t="s">
        <v>1007</v>
      </c>
      <c r="D18" s="122" t="s">
        <v>1008</v>
      </c>
      <c r="E18" s="24" t="s">
        <v>128</v>
      </c>
      <c r="F18" s="25">
        <v>1</v>
      </c>
      <c r="G18" s="26">
        <v>3730600580715</v>
      </c>
      <c r="H18" s="27">
        <v>210833</v>
      </c>
      <c r="I18" s="28">
        <f t="shared" si="0"/>
        <v>82</v>
      </c>
      <c r="J18" s="93">
        <f t="shared" si="1"/>
        <v>6</v>
      </c>
      <c r="K18" s="93">
        <f t="shared" si="2"/>
        <v>3</v>
      </c>
      <c r="L18" s="93" t="str">
        <f t="shared" si="5"/>
        <v>82 ปี  6 เดือน  3 วัน</v>
      </c>
      <c r="M18" s="38">
        <f t="shared" si="6"/>
        <v>800</v>
      </c>
      <c r="N18" s="39"/>
      <c r="O18" s="247"/>
      <c r="P18" s="31"/>
      <c r="Q18" s="40"/>
      <c r="R18" s="33"/>
      <c r="S18" s="33"/>
      <c r="T18" s="33"/>
      <c r="U18" s="33"/>
      <c r="V18" s="33"/>
      <c r="W18" s="41"/>
    </row>
    <row r="19" spans="1:23" s="1" customFormat="1" ht="27" thickBot="1">
      <c r="A19" s="20">
        <f t="shared" si="3"/>
        <v>14</v>
      </c>
      <c r="B19" s="21" t="s">
        <v>30</v>
      </c>
      <c r="C19" s="123" t="s">
        <v>203</v>
      </c>
      <c r="D19" s="124" t="s">
        <v>968</v>
      </c>
      <c r="E19" s="24" t="s">
        <v>969</v>
      </c>
      <c r="F19" s="25">
        <v>1</v>
      </c>
      <c r="G19" s="26">
        <v>3800100944679</v>
      </c>
      <c r="H19" s="27">
        <v>210748</v>
      </c>
      <c r="I19" s="28">
        <f t="shared" si="0"/>
        <v>82</v>
      </c>
      <c r="J19" s="93">
        <f t="shared" si="1"/>
        <v>8</v>
      </c>
      <c r="K19" s="93">
        <f t="shared" si="2"/>
        <v>29</v>
      </c>
      <c r="L19" s="93" t="str">
        <f t="shared" si="5"/>
        <v>82 ปี  8 เดือน  29 วัน</v>
      </c>
      <c r="M19" s="38">
        <f t="shared" si="6"/>
        <v>800</v>
      </c>
      <c r="N19" s="39"/>
      <c r="O19" s="247"/>
      <c r="P19" s="31"/>
      <c r="Q19" s="43" t="s">
        <v>23</v>
      </c>
      <c r="R19" s="44">
        <f aca="true" t="shared" si="7" ref="R19:W19">SUM(R7:R18)</f>
        <v>0</v>
      </c>
      <c r="S19" s="44">
        <f t="shared" si="7"/>
        <v>0</v>
      </c>
      <c r="T19" s="44">
        <f t="shared" si="7"/>
        <v>96</v>
      </c>
      <c r="U19" s="44">
        <f t="shared" si="7"/>
        <v>0</v>
      </c>
      <c r="V19" s="44">
        <f t="shared" si="7"/>
        <v>96</v>
      </c>
      <c r="W19" s="45">
        <f t="shared" si="7"/>
        <v>76800</v>
      </c>
    </row>
    <row r="20" spans="1:24" s="19" customFormat="1" ht="27" thickTop="1">
      <c r="A20" s="20">
        <f t="shared" si="3"/>
        <v>15</v>
      </c>
      <c r="B20" s="21" t="s">
        <v>30</v>
      </c>
      <c r="C20" s="123" t="s">
        <v>1009</v>
      </c>
      <c r="D20" s="124" t="s">
        <v>997</v>
      </c>
      <c r="E20" s="24" t="s">
        <v>671</v>
      </c>
      <c r="F20" s="25">
        <v>1</v>
      </c>
      <c r="G20" s="26">
        <v>3102201805745</v>
      </c>
      <c r="H20" s="27">
        <v>210659</v>
      </c>
      <c r="I20" s="28">
        <f t="shared" si="0"/>
        <v>82</v>
      </c>
      <c r="J20" s="93">
        <f t="shared" si="1"/>
        <v>11</v>
      </c>
      <c r="K20" s="93">
        <f t="shared" si="2"/>
        <v>26</v>
      </c>
      <c r="L20" s="93" t="str">
        <f t="shared" si="5"/>
        <v>82 ปี  11 เดือน  26 วัน</v>
      </c>
      <c r="M20" s="38">
        <f t="shared" si="6"/>
        <v>800</v>
      </c>
      <c r="N20" s="39"/>
      <c r="O20" s="248"/>
      <c r="P20" s="31"/>
      <c r="X20" s="1"/>
    </row>
    <row r="21" spans="1:24" ht="26.25">
      <c r="A21" s="20">
        <f t="shared" si="3"/>
        <v>16</v>
      </c>
      <c r="B21" s="21" t="s">
        <v>31</v>
      </c>
      <c r="C21" s="123" t="s">
        <v>84</v>
      </c>
      <c r="D21" s="124" t="s">
        <v>282</v>
      </c>
      <c r="E21" s="24" t="s">
        <v>281</v>
      </c>
      <c r="F21" s="25">
        <v>1</v>
      </c>
      <c r="G21" s="26">
        <v>3730600576297</v>
      </c>
      <c r="H21" s="27">
        <v>210515</v>
      </c>
      <c r="I21" s="28">
        <f t="shared" si="0"/>
        <v>83</v>
      </c>
      <c r="J21" s="93">
        <f t="shared" si="1"/>
        <v>4</v>
      </c>
      <c r="K21" s="93">
        <f t="shared" si="2"/>
        <v>17</v>
      </c>
      <c r="L21" s="93" t="str">
        <f t="shared" si="5"/>
        <v>83 ปี  4 เดือน  17 วัน</v>
      </c>
      <c r="M21" s="38">
        <f t="shared" si="6"/>
        <v>800</v>
      </c>
      <c r="N21" s="39"/>
      <c r="O21" s="247"/>
      <c r="P21" s="31"/>
      <c r="X21" s="1"/>
    </row>
    <row r="22" spans="1:24" ht="26.25">
      <c r="A22" s="20">
        <f t="shared" si="3"/>
        <v>17</v>
      </c>
      <c r="B22" s="21" t="s">
        <v>31</v>
      </c>
      <c r="C22" s="123" t="s">
        <v>1010</v>
      </c>
      <c r="D22" s="124" t="s">
        <v>1011</v>
      </c>
      <c r="E22" s="24" t="s">
        <v>96</v>
      </c>
      <c r="F22" s="25">
        <v>1</v>
      </c>
      <c r="G22" s="26">
        <v>3730600574651</v>
      </c>
      <c r="H22" s="27">
        <v>209287</v>
      </c>
      <c r="I22" s="28">
        <f t="shared" si="0"/>
        <v>86</v>
      </c>
      <c r="J22" s="93">
        <f t="shared" si="1"/>
        <v>8</v>
      </c>
      <c r="K22" s="93">
        <f t="shared" si="2"/>
        <v>29</v>
      </c>
      <c r="L22" s="93" t="str">
        <f t="shared" si="5"/>
        <v>86 ปี  8 เดือน  29 วัน</v>
      </c>
      <c r="M22" s="38">
        <f t="shared" si="6"/>
        <v>800</v>
      </c>
      <c r="N22" s="30"/>
      <c r="O22" s="249"/>
      <c r="P22" s="13"/>
      <c r="X22" s="19"/>
    </row>
    <row r="23" spans="1:24" ht="26.25">
      <c r="A23" s="20">
        <f t="shared" si="3"/>
        <v>18</v>
      </c>
      <c r="B23" s="21" t="s">
        <v>31</v>
      </c>
      <c r="C23" s="123" t="s">
        <v>1012</v>
      </c>
      <c r="D23" s="124" t="s">
        <v>1013</v>
      </c>
      <c r="E23" s="24" t="s">
        <v>125</v>
      </c>
      <c r="F23" s="25">
        <v>1</v>
      </c>
      <c r="G23" s="26">
        <v>3730600580260</v>
      </c>
      <c r="H23" s="27">
        <v>210017</v>
      </c>
      <c r="I23" s="28">
        <f t="shared" si="0"/>
        <v>84</v>
      </c>
      <c r="J23" s="93">
        <f t="shared" si="1"/>
        <v>8</v>
      </c>
      <c r="K23" s="93">
        <f t="shared" si="2"/>
        <v>29</v>
      </c>
      <c r="L23" s="93" t="str">
        <f t="shared" si="5"/>
        <v>84 ปี  8 เดือน  29 วัน</v>
      </c>
      <c r="M23" s="38">
        <f t="shared" si="6"/>
        <v>800</v>
      </c>
      <c r="N23" s="30"/>
      <c r="O23" s="250"/>
      <c r="Q23" s="100" t="s">
        <v>28</v>
      </c>
      <c r="S23" s="99">
        <v>240969</v>
      </c>
      <c r="T23" s="102"/>
      <c r="U23" s="102"/>
      <c r="V23" s="102"/>
      <c r="W23" s="103"/>
      <c r="X23" s="46"/>
    </row>
    <row r="24" spans="1:24" ht="26.25">
      <c r="A24" s="20">
        <f t="shared" si="3"/>
        <v>19</v>
      </c>
      <c r="B24" s="21" t="s">
        <v>30</v>
      </c>
      <c r="C24" s="123" t="s">
        <v>137</v>
      </c>
      <c r="D24" s="124" t="s">
        <v>354</v>
      </c>
      <c r="E24" s="24" t="s">
        <v>763</v>
      </c>
      <c r="F24" s="25">
        <v>1</v>
      </c>
      <c r="G24" s="26">
        <v>3730600142157</v>
      </c>
      <c r="H24" s="27">
        <v>210491</v>
      </c>
      <c r="I24" s="28">
        <f t="shared" si="0"/>
        <v>83</v>
      </c>
      <c r="J24" s="93">
        <f t="shared" si="1"/>
        <v>5</v>
      </c>
      <c r="K24" s="93">
        <f t="shared" si="2"/>
        <v>11</v>
      </c>
      <c r="L24" s="93" t="str">
        <f t="shared" si="5"/>
        <v>83 ปี  5 เดือน  11 วัน</v>
      </c>
      <c r="M24" s="38">
        <f t="shared" si="6"/>
        <v>800</v>
      </c>
      <c r="N24" s="39"/>
      <c r="O24" s="247"/>
      <c r="Q24" s="100"/>
      <c r="S24" s="99"/>
      <c r="T24" s="102"/>
      <c r="U24" s="102"/>
      <c r="V24" s="102"/>
      <c r="W24" s="103"/>
      <c r="X24" s="46"/>
    </row>
    <row r="25" spans="1:31" ht="26.25">
      <c r="A25" s="20">
        <f t="shared" si="3"/>
        <v>20</v>
      </c>
      <c r="B25" s="21" t="s">
        <v>30</v>
      </c>
      <c r="C25" s="123" t="s">
        <v>1014</v>
      </c>
      <c r="D25" s="124" t="s">
        <v>349</v>
      </c>
      <c r="E25" s="24" t="s">
        <v>176</v>
      </c>
      <c r="F25" s="25">
        <v>1</v>
      </c>
      <c r="G25" s="26">
        <v>3730600574847</v>
      </c>
      <c r="H25" s="27">
        <v>208556</v>
      </c>
      <c r="I25" s="28">
        <f t="shared" si="0"/>
        <v>88</v>
      </c>
      <c r="J25" s="93">
        <f t="shared" si="1"/>
        <v>8</v>
      </c>
      <c r="K25" s="93">
        <f t="shared" si="2"/>
        <v>29</v>
      </c>
      <c r="L25" s="93" t="str">
        <f t="shared" si="5"/>
        <v>88 ปี  8 เดือน  29 วัน</v>
      </c>
      <c r="M25" s="38">
        <f t="shared" si="6"/>
        <v>800</v>
      </c>
      <c r="N25" s="30"/>
      <c r="O25" s="250"/>
      <c r="Q25" s="104"/>
      <c r="R25" s="111" t="s">
        <v>0</v>
      </c>
      <c r="S25" s="112" t="s">
        <v>22</v>
      </c>
      <c r="T25" s="105"/>
      <c r="U25" s="113" t="s">
        <v>1</v>
      </c>
      <c r="V25" s="113" t="s">
        <v>22</v>
      </c>
      <c r="W25" s="106"/>
      <c r="X25" s="51"/>
      <c r="Y25" s="51"/>
      <c r="Z25" s="51"/>
      <c r="AA25" s="51"/>
      <c r="AB25" s="52"/>
      <c r="AC25" s="52"/>
      <c r="AD25" s="52"/>
      <c r="AE25" s="51"/>
    </row>
    <row r="26" spans="1:31" ht="26.25">
      <c r="A26" s="20">
        <f t="shared" si="3"/>
        <v>21</v>
      </c>
      <c r="B26" s="21" t="s">
        <v>31</v>
      </c>
      <c r="C26" s="123" t="s">
        <v>88</v>
      </c>
      <c r="D26" s="124" t="s">
        <v>349</v>
      </c>
      <c r="E26" s="24" t="s">
        <v>176</v>
      </c>
      <c r="F26" s="25">
        <v>1</v>
      </c>
      <c r="G26" s="26">
        <v>3730600574855</v>
      </c>
      <c r="H26" s="27">
        <v>208556</v>
      </c>
      <c r="I26" s="28">
        <f t="shared" si="0"/>
        <v>88</v>
      </c>
      <c r="J26" s="93">
        <f t="shared" si="1"/>
        <v>8</v>
      </c>
      <c r="K26" s="93">
        <f t="shared" si="2"/>
        <v>29</v>
      </c>
      <c r="L26" s="93" t="str">
        <f t="shared" si="5"/>
        <v>88 ปี  8 เดือน  29 วัน</v>
      </c>
      <c r="M26" s="38">
        <f t="shared" si="6"/>
        <v>800</v>
      </c>
      <c r="N26" s="30"/>
      <c r="O26" s="250"/>
      <c r="R26" s="114">
        <v>80</v>
      </c>
      <c r="S26" s="98">
        <f>COUNTIF(I6:I39,"80")</f>
        <v>3</v>
      </c>
      <c r="T26" s="105"/>
      <c r="U26" s="115" t="s">
        <v>2</v>
      </c>
      <c r="V26" s="93">
        <v>0</v>
      </c>
      <c r="W26" s="106"/>
      <c r="X26" s="51"/>
      <c r="Y26" s="51"/>
      <c r="Z26" s="51"/>
      <c r="AA26" s="51"/>
      <c r="AB26" s="52"/>
      <c r="AC26" s="52"/>
      <c r="AD26" s="52"/>
      <c r="AE26" s="51"/>
    </row>
    <row r="27" spans="1:31" ht="26.25">
      <c r="A27" s="20">
        <f t="shared" si="3"/>
        <v>22</v>
      </c>
      <c r="B27" s="268" t="s">
        <v>31</v>
      </c>
      <c r="C27" s="269" t="s">
        <v>1015</v>
      </c>
      <c r="D27" s="270" t="s">
        <v>1016</v>
      </c>
      <c r="E27" s="254" t="s">
        <v>179</v>
      </c>
      <c r="F27" s="255">
        <v>1</v>
      </c>
      <c r="G27" s="256">
        <v>3730600575282</v>
      </c>
      <c r="H27" s="257">
        <v>209287</v>
      </c>
      <c r="I27" s="258">
        <f t="shared" si="0"/>
        <v>86</v>
      </c>
      <c r="J27" s="259">
        <f t="shared" si="1"/>
        <v>8</v>
      </c>
      <c r="K27" s="259">
        <f t="shared" si="2"/>
        <v>29</v>
      </c>
      <c r="L27" s="259" t="str">
        <f t="shared" si="5"/>
        <v>86 ปี  8 เดือน  29 วัน</v>
      </c>
      <c r="M27" s="260">
        <f t="shared" si="6"/>
        <v>800</v>
      </c>
      <c r="N27" s="265"/>
      <c r="O27" s="271"/>
      <c r="R27" s="114">
        <v>81</v>
      </c>
      <c r="S27" s="98">
        <f>COUNTIF(I6:I39,"81")</f>
        <v>6</v>
      </c>
      <c r="T27" s="105"/>
      <c r="U27" s="115" t="s">
        <v>7</v>
      </c>
      <c r="V27" s="93">
        <v>0</v>
      </c>
      <c r="W27" s="106" t="s">
        <v>1199</v>
      </c>
      <c r="X27" s="51"/>
      <c r="Y27" s="51"/>
      <c r="Z27" s="51"/>
      <c r="AA27" s="51"/>
      <c r="AB27" s="52"/>
      <c r="AC27" s="52"/>
      <c r="AD27" s="52"/>
      <c r="AE27" s="51"/>
    </row>
    <row r="28" spans="1:23" ht="26.25">
      <c r="A28" s="20">
        <f t="shared" si="3"/>
        <v>23</v>
      </c>
      <c r="B28" s="21" t="s">
        <v>30</v>
      </c>
      <c r="C28" s="123" t="s">
        <v>1020</v>
      </c>
      <c r="D28" s="124" t="s">
        <v>1019</v>
      </c>
      <c r="E28" s="24" t="s">
        <v>62</v>
      </c>
      <c r="F28" s="25">
        <v>1</v>
      </c>
      <c r="G28" s="26">
        <v>3730600575894</v>
      </c>
      <c r="H28" s="27">
        <v>209652</v>
      </c>
      <c r="I28" s="28">
        <f t="shared" si="0"/>
        <v>85</v>
      </c>
      <c r="J28" s="93">
        <f t="shared" si="1"/>
        <v>8</v>
      </c>
      <c r="K28" s="93">
        <f t="shared" si="2"/>
        <v>29</v>
      </c>
      <c r="L28" s="93" t="str">
        <f t="shared" si="5"/>
        <v>85 ปี  8 เดือน  29 วัน</v>
      </c>
      <c r="M28" s="38">
        <f t="shared" si="6"/>
        <v>800</v>
      </c>
      <c r="N28" s="39"/>
      <c r="O28" s="247"/>
      <c r="Q28" s="107"/>
      <c r="R28" s="114">
        <v>82</v>
      </c>
      <c r="S28" s="98">
        <f>COUNTIF(I6:I39,"82")</f>
        <v>6</v>
      </c>
      <c r="T28" s="108"/>
      <c r="U28" s="115" t="s">
        <v>8</v>
      </c>
      <c r="V28" s="93">
        <f>SUM(S26:S36)</f>
        <v>34</v>
      </c>
      <c r="W28" s="109"/>
    </row>
    <row r="29" spans="1:23" ht="26.25">
      <c r="A29" s="20">
        <f t="shared" si="3"/>
        <v>24</v>
      </c>
      <c r="B29" s="21" t="s">
        <v>31</v>
      </c>
      <c r="C29" s="123" t="s">
        <v>1021</v>
      </c>
      <c r="D29" s="124" t="s">
        <v>1022</v>
      </c>
      <c r="E29" s="24" t="s">
        <v>1023</v>
      </c>
      <c r="F29" s="25">
        <v>1</v>
      </c>
      <c r="G29" s="26">
        <v>3700700909603</v>
      </c>
      <c r="H29" s="27">
        <v>208556</v>
      </c>
      <c r="I29" s="28">
        <f t="shared" si="0"/>
        <v>88</v>
      </c>
      <c r="J29" s="93">
        <f t="shared" si="1"/>
        <v>8</v>
      </c>
      <c r="K29" s="93">
        <f t="shared" si="2"/>
        <v>29</v>
      </c>
      <c r="L29" s="93" t="str">
        <f t="shared" si="5"/>
        <v>88 ปี  8 เดือน  29 วัน</v>
      </c>
      <c r="M29" s="38">
        <f t="shared" si="6"/>
        <v>800</v>
      </c>
      <c r="N29" s="30"/>
      <c r="O29" s="249"/>
      <c r="Q29" s="110"/>
      <c r="R29" s="114">
        <v>83</v>
      </c>
      <c r="S29" s="98">
        <f>COUNTIF(I6:I39,"83")</f>
        <v>4</v>
      </c>
      <c r="T29" s="108"/>
      <c r="U29" s="115" t="s">
        <v>9</v>
      </c>
      <c r="V29" s="93"/>
      <c r="W29" s="109"/>
    </row>
    <row r="30" spans="1:23" ht="26.25">
      <c r="A30" s="20">
        <f t="shared" si="3"/>
        <v>25</v>
      </c>
      <c r="B30" s="21" t="s">
        <v>30</v>
      </c>
      <c r="C30" s="123" t="s">
        <v>1024</v>
      </c>
      <c r="D30" s="124" t="s">
        <v>923</v>
      </c>
      <c r="E30" s="24" t="s">
        <v>72</v>
      </c>
      <c r="F30" s="25">
        <v>1</v>
      </c>
      <c r="G30" s="26">
        <v>3730600579008</v>
      </c>
      <c r="H30" s="27">
        <v>208839</v>
      </c>
      <c r="I30" s="28">
        <f t="shared" si="0"/>
        <v>87</v>
      </c>
      <c r="J30" s="93">
        <f t="shared" si="1"/>
        <v>11</v>
      </c>
      <c r="K30" s="93">
        <f t="shared" si="2"/>
        <v>19</v>
      </c>
      <c r="L30" s="93" t="str">
        <f t="shared" si="5"/>
        <v>87 ปี  11 เดือน  19 วัน</v>
      </c>
      <c r="M30" s="38">
        <f t="shared" si="6"/>
        <v>800</v>
      </c>
      <c r="N30" s="30"/>
      <c r="O30" s="250"/>
      <c r="Q30" s="110"/>
      <c r="R30" s="114">
        <v>84</v>
      </c>
      <c r="S30" s="98">
        <f>COUNTIF(I6:I39,"84")</f>
        <v>3</v>
      </c>
      <c r="T30" s="108"/>
      <c r="U30" s="113" t="s">
        <v>25</v>
      </c>
      <c r="V30" s="113">
        <f>SUM(V26:V29)</f>
        <v>34</v>
      </c>
      <c r="W30" s="109"/>
    </row>
    <row r="31" spans="1:19" ht="26.25">
      <c r="A31" s="20">
        <f t="shared" si="3"/>
        <v>26</v>
      </c>
      <c r="B31" s="21" t="s">
        <v>31</v>
      </c>
      <c r="C31" s="123" t="s">
        <v>1025</v>
      </c>
      <c r="D31" s="124" t="s">
        <v>285</v>
      </c>
      <c r="E31" s="24" t="s">
        <v>267</v>
      </c>
      <c r="F31" s="25">
        <v>1</v>
      </c>
      <c r="G31" s="26">
        <v>3730600580693</v>
      </c>
      <c r="H31" s="27">
        <v>208921</v>
      </c>
      <c r="I31" s="28">
        <f t="shared" si="0"/>
        <v>87</v>
      </c>
      <c r="J31" s="93">
        <f t="shared" si="1"/>
        <v>8</v>
      </c>
      <c r="K31" s="93">
        <f t="shared" si="2"/>
        <v>29</v>
      </c>
      <c r="L31" s="93" t="str">
        <f t="shared" si="5"/>
        <v>87 ปี  8 เดือน  29 วัน</v>
      </c>
      <c r="M31" s="38">
        <f t="shared" si="6"/>
        <v>800</v>
      </c>
      <c r="N31" s="30"/>
      <c r="O31" s="249"/>
      <c r="R31" s="114">
        <v>85</v>
      </c>
      <c r="S31" s="98">
        <f>COUNTIF(I6:I39,"85")</f>
        <v>1</v>
      </c>
    </row>
    <row r="32" spans="1:24" s="53" customFormat="1" ht="26.25">
      <c r="A32" s="20">
        <f t="shared" si="3"/>
        <v>27</v>
      </c>
      <c r="B32" s="21" t="s">
        <v>32</v>
      </c>
      <c r="C32" s="123" t="s">
        <v>91</v>
      </c>
      <c r="D32" s="124" t="s">
        <v>1026</v>
      </c>
      <c r="E32" s="24" t="s">
        <v>135</v>
      </c>
      <c r="F32" s="25">
        <v>1</v>
      </c>
      <c r="G32" s="26">
        <v>3730600597677</v>
      </c>
      <c r="H32" s="27">
        <v>210382</v>
      </c>
      <c r="I32" s="28">
        <f t="shared" si="0"/>
        <v>83</v>
      </c>
      <c r="J32" s="93">
        <f t="shared" si="1"/>
        <v>8</v>
      </c>
      <c r="K32" s="93">
        <f t="shared" si="2"/>
        <v>29</v>
      </c>
      <c r="L32" s="93" t="str">
        <f t="shared" si="5"/>
        <v>83 ปี  8 เดือน  29 วัน</v>
      </c>
      <c r="M32" s="38">
        <f t="shared" si="6"/>
        <v>800</v>
      </c>
      <c r="N32" s="30"/>
      <c r="O32" s="250"/>
      <c r="P32" s="42"/>
      <c r="Q32" s="101"/>
      <c r="R32" s="114">
        <v>86</v>
      </c>
      <c r="S32" s="98">
        <f>COUNTIF(I6:I39,"86")</f>
        <v>2</v>
      </c>
      <c r="T32" s="101"/>
      <c r="W32" s="101"/>
      <c r="X32" s="42"/>
    </row>
    <row r="33" spans="1:23" s="53" customFormat="1" ht="26.25">
      <c r="A33" s="20">
        <f t="shared" si="3"/>
        <v>28</v>
      </c>
      <c r="B33" s="21" t="s">
        <v>32</v>
      </c>
      <c r="C33" s="123" t="s">
        <v>1017</v>
      </c>
      <c r="D33" s="124" t="s">
        <v>1026</v>
      </c>
      <c r="E33" s="24" t="s">
        <v>1027</v>
      </c>
      <c r="F33" s="25">
        <v>1</v>
      </c>
      <c r="G33" s="26">
        <v>3730600597669</v>
      </c>
      <c r="H33" s="27">
        <v>210017</v>
      </c>
      <c r="I33" s="28">
        <f t="shared" si="0"/>
        <v>84</v>
      </c>
      <c r="J33" s="93">
        <f t="shared" si="1"/>
        <v>8</v>
      </c>
      <c r="K33" s="93">
        <f t="shared" si="2"/>
        <v>29</v>
      </c>
      <c r="L33" s="93" t="str">
        <f t="shared" si="5"/>
        <v>84 ปี  8 เดือน  29 วัน</v>
      </c>
      <c r="M33" s="38">
        <f t="shared" si="6"/>
        <v>800</v>
      </c>
      <c r="N33" s="39"/>
      <c r="O33" s="247"/>
      <c r="Q33" s="101"/>
      <c r="R33" s="114">
        <v>87</v>
      </c>
      <c r="S33" s="98">
        <f>COUNTIF(I6:I39,"87")</f>
        <v>4</v>
      </c>
      <c r="T33" s="101"/>
      <c r="W33" s="101"/>
    </row>
    <row r="34" spans="1:24" s="54" customFormat="1" ht="26.25">
      <c r="A34" s="20">
        <f t="shared" si="3"/>
        <v>29</v>
      </c>
      <c r="B34" s="21" t="s">
        <v>31</v>
      </c>
      <c r="C34" s="123" t="s">
        <v>1028</v>
      </c>
      <c r="D34" s="124" t="s">
        <v>491</v>
      </c>
      <c r="E34" s="24" t="s">
        <v>492</v>
      </c>
      <c r="F34" s="25">
        <v>1</v>
      </c>
      <c r="G34" s="26">
        <v>3102200216711</v>
      </c>
      <c r="H34" s="27">
        <v>210017</v>
      </c>
      <c r="I34" s="28">
        <f t="shared" si="0"/>
        <v>84</v>
      </c>
      <c r="J34" s="93">
        <f t="shared" si="1"/>
        <v>8</v>
      </c>
      <c r="K34" s="93">
        <f t="shared" si="2"/>
        <v>29</v>
      </c>
      <c r="L34" s="93" t="str">
        <f t="shared" si="5"/>
        <v>84 ปี  8 เดือน  29 วัน</v>
      </c>
      <c r="M34" s="38">
        <f t="shared" si="6"/>
        <v>800</v>
      </c>
      <c r="N34" s="30"/>
      <c r="O34" s="249"/>
      <c r="P34" s="53"/>
      <c r="Q34" s="101"/>
      <c r="R34" s="114">
        <v>88</v>
      </c>
      <c r="S34" s="98">
        <f>COUNTIF(I6:I39,"88")</f>
        <v>4</v>
      </c>
      <c r="T34" s="101"/>
      <c r="W34" s="101"/>
      <c r="X34" s="53"/>
    </row>
    <row r="35" spans="1:24" s="1" customFormat="1" ht="26.25">
      <c r="A35" s="20">
        <f t="shared" si="3"/>
        <v>30</v>
      </c>
      <c r="B35" s="21" t="s">
        <v>31</v>
      </c>
      <c r="C35" s="123" t="s">
        <v>1029</v>
      </c>
      <c r="D35" s="124" t="s">
        <v>1030</v>
      </c>
      <c r="E35" s="24" t="s">
        <v>1031</v>
      </c>
      <c r="F35" s="25">
        <v>1</v>
      </c>
      <c r="G35" s="26">
        <v>3659900327933</v>
      </c>
      <c r="H35" s="27">
        <v>209012</v>
      </c>
      <c r="I35" s="28">
        <f t="shared" si="0"/>
        <v>87</v>
      </c>
      <c r="J35" s="93">
        <f t="shared" si="1"/>
        <v>5</v>
      </c>
      <c r="K35" s="93">
        <f t="shared" si="2"/>
        <v>29</v>
      </c>
      <c r="L35" s="93" t="str">
        <f t="shared" si="5"/>
        <v>87 ปี  5 เดือน  29 วัน</v>
      </c>
      <c r="M35" s="38">
        <f t="shared" si="6"/>
        <v>800</v>
      </c>
      <c r="N35" s="30"/>
      <c r="O35" s="250"/>
      <c r="P35" s="54"/>
      <c r="Q35" s="101"/>
      <c r="R35" s="167">
        <v>89</v>
      </c>
      <c r="S35" s="98">
        <f>COUNTIF(I6:I39,"89")</f>
        <v>1</v>
      </c>
      <c r="T35" s="101"/>
      <c r="W35" s="101"/>
      <c r="X35" s="54"/>
    </row>
    <row r="36" spans="1:24" s="1" customFormat="1" ht="26.25">
      <c r="A36" s="20">
        <f t="shared" si="3"/>
        <v>31</v>
      </c>
      <c r="B36" s="21" t="s">
        <v>30</v>
      </c>
      <c r="C36" s="121" t="s">
        <v>216</v>
      </c>
      <c r="D36" s="122" t="s">
        <v>1032</v>
      </c>
      <c r="E36" s="24" t="s">
        <v>1033</v>
      </c>
      <c r="F36" s="25">
        <v>1</v>
      </c>
      <c r="G36" s="26">
        <v>3100100907371</v>
      </c>
      <c r="H36" s="27">
        <v>208191</v>
      </c>
      <c r="I36" s="28">
        <f t="shared" si="0"/>
        <v>89</v>
      </c>
      <c r="J36" s="93">
        <f t="shared" si="1"/>
        <v>8</v>
      </c>
      <c r="K36" s="93">
        <f t="shared" si="2"/>
        <v>29</v>
      </c>
      <c r="L36" s="93" t="str">
        <f t="shared" si="5"/>
        <v>89 ปี  8 เดือน  29 วัน</v>
      </c>
      <c r="M36" s="38">
        <f t="shared" si="6"/>
        <v>800</v>
      </c>
      <c r="N36" s="30"/>
      <c r="O36" s="250"/>
      <c r="P36" s="54"/>
      <c r="Q36" s="101"/>
      <c r="R36" s="168">
        <v>90</v>
      </c>
      <c r="S36" s="160">
        <f>COUNTIF(I6:I39,"90")</f>
        <v>0</v>
      </c>
      <c r="T36" s="101"/>
      <c r="W36" s="101"/>
      <c r="X36" s="54"/>
    </row>
    <row r="37" spans="1:24" s="57" customFormat="1" ht="27" thickBot="1">
      <c r="A37" s="20">
        <f t="shared" si="3"/>
        <v>32</v>
      </c>
      <c r="B37" s="21" t="s">
        <v>31</v>
      </c>
      <c r="C37" s="123" t="s">
        <v>1034</v>
      </c>
      <c r="D37" s="124" t="s">
        <v>348</v>
      </c>
      <c r="E37" s="24" t="s">
        <v>258</v>
      </c>
      <c r="F37" s="25">
        <v>1</v>
      </c>
      <c r="G37" s="26">
        <v>3730600597120</v>
      </c>
      <c r="H37" s="27">
        <v>209018</v>
      </c>
      <c r="I37" s="28">
        <f t="shared" si="0"/>
        <v>87</v>
      </c>
      <c r="J37" s="93">
        <f t="shared" si="1"/>
        <v>5</v>
      </c>
      <c r="K37" s="93">
        <f t="shared" si="2"/>
        <v>23</v>
      </c>
      <c r="L37" s="93" t="str">
        <f t="shared" si="5"/>
        <v>87 ปี  5 เดือน  23 วัน</v>
      </c>
      <c r="M37" s="38">
        <f t="shared" si="6"/>
        <v>800</v>
      </c>
      <c r="N37" s="30"/>
      <c r="O37" s="250"/>
      <c r="P37" s="80"/>
      <c r="Q37" s="119"/>
      <c r="R37" s="170" t="s">
        <v>25</v>
      </c>
      <c r="S37" s="171">
        <f>SUM(S26:S36)</f>
        <v>34</v>
      </c>
      <c r="T37" s="119"/>
      <c r="U37" s="119"/>
      <c r="V37" s="119"/>
      <c r="W37" s="119"/>
      <c r="X37" s="80"/>
    </row>
    <row r="38" spans="1:24" s="57" customFormat="1" ht="27" thickTop="1">
      <c r="A38" s="20">
        <f t="shared" si="3"/>
        <v>33</v>
      </c>
      <c r="B38" s="21" t="s">
        <v>31</v>
      </c>
      <c r="C38" s="123" t="s">
        <v>55</v>
      </c>
      <c r="D38" s="124" t="s">
        <v>661</v>
      </c>
      <c r="E38" s="24" t="s">
        <v>1035</v>
      </c>
      <c r="F38" s="25">
        <v>1</v>
      </c>
      <c r="G38" s="26">
        <v>3101200290406</v>
      </c>
      <c r="H38" s="27">
        <v>210382</v>
      </c>
      <c r="I38" s="28">
        <f t="shared" si="0"/>
        <v>83</v>
      </c>
      <c r="J38" s="93">
        <f t="shared" si="1"/>
        <v>8</v>
      </c>
      <c r="K38" s="93">
        <f t="shared" si="2"/>
        <v>29</v>
      </c>
      <c r="L38" s="93" t="str">
        <f t="shared" si="5"/>
        <v>83 ปี  8 เดือน  29 วัน</v>
      </c>
      <c r="M38" s="38">
        <f t="shared" si="6"/>
        <v>800</v>
      </c>
      <c r="N38" s="30"/>
      <c r="O38" s="250"/>
      <c r="P38" s="80"/>
      <c r="Q38" s="119"/>
      <c r="R38" s="168"/>
      <c r="S38" s="160"/>
      <c r="T38" s="119"/>
      <c r="U38" s="119"/>
      <c r="V38" s="119"/>
      <c r="W38" s="119"/>
      <c r="X38" s="80"/>
    </row>
    <row r="39" spans="1:24" s="57" customFormat="1" ht="26.25">
      <c r="A39" s="20">
        <f t="shared" si="3"/>
        <v>34</v>
      </c>
      <c r="B39" s="21" t="s">
        <v>31</v>
      </c>
      <c r="C39" s="123" t="s">
        <v>920</v>
      </c>
      <c r="D39" s="124" t="s">
        <v>1457</v>
      </c>
      <c r="E39" s="24" t="s">
        <v>1458</v>
      </c>
      <c r="F39" s="25" t="s">
        <v>1199</v>
      </c>
      <c r="G39" s="26">
        <v>3102300248801</v>
      </c>
      <c r="H39" s="27">
        <v>208556</v>
      </c>
      <c r="I39" s="93">
        <f t="shared" si="0"/>
        <v>88</v>
      </c>
      <c r="J39" s="93">
        <f t="shared" si="1"/>
        <v>8</v>
      </c>
      <c r="K39" s="93">
        <f t="shared" si="2"/>
        <v>29</v>
      </c>
      <c r="L39" s="93" t="str">
        <f aca="true" t="shared" si="8" ref="L39:L50">I39&amp;" ปี  "&amp;J39&amp;" เดือน  "&amp;K39&amp;" วัน"</f>
        <v>88 ปี  8 เดือน  29 วัน</v>
      </c>
      <c r="M39" s="29">
        <f aca="true" t="shared" si="9" ref="M39:M68">IF(I39&lt;=69,600,IF(I39&lt;=79,700,IF(I39&lt;=89,800,IF(I39&gt;=90,1000))))</f>
        <v>800</v>
      </c>
      <c r="N39" s="39"/>
      <c r="O39" s="318" t="s">
        <v>1422</v>
      </c>
      <c r="P39" s="80"/>
      <c r="Q39" s="119"/>
      <c r="R39" s="111" t="s">
        <v>0</v>
      </c>
      <c r="S39" s="112" t="s">
        <v>22</v>
      </c>
      <c r="T39" s="105"/>
      <c r="U39" s="113" t="s">
        <v>1</v>
      </c>
      <c r="V39" s="113" t="s">
        <v>22</v>
      </c>
      <c r="W39" s="119"/>
      <c r="X39" s="80"/>
    </row>
    <row r="40" spans="1:24" s="57" customFormat="1" ht="25.5" customHeight="1">
      <c r="A40" s="20">
        <f t="shared" si="3"/>
        <v>35</v>
      </c>
      <c r="B40" s="202" t="s">
        <v>31</v>
      </c>
      <c r="C40" s="209" t="s">
        <v>1049</v>
      </c>
      <c r="D40" s="210" t="s">
        <v>687</v>
      </c>
      <c r="E40" s="205" t="s">
        <v>266</v>
      </c>
      <c r="F40" s="206">
        <v>2</v>
      </c>
      <c r="G40" s="207">
        <v>3730600586080</v>
      </c>
      <c r="H40" s="27">
        <v>211478</v>
      </c>
      <c r="I40" s="93">
        <f t="shared" si="0"/>
        <v>80</v>
      </c>
      <c r="J40" s="93">
        <f t="shared" si="1"/>
        <v>8</v>
      </c>
      <c r="K40" s="93">
        <f t="shared" si="2"/>
        <v>29</v>
      </c>
      <c r="L40" s="93" t="str">
        <f t="shared" si="8"/>
        <v>80 ปี  8 เดือน  29 วัน</v>
      </c>
      <c r="M40" s="38">
        <f t="shared" si="9"/>
        <v>800</v>
      </c>
      <c r="O40" s="244"/>
      <c r="P40" s="80"/>
      <c r="Q40" s="119"/>
      <c r="R40" s="114">
        <v>80</v>
      </c>
      <c r="S40" s="98">
        <f>COUNTIF(I40:I50,"80")</f>
        <v>2</v>
      </c>
      <c r="T40" s="105"/>
      <c r="U40" s="115" t="s">
        <v>2</v>
      </c>
      <c r="V40" s="352">
        <v>0</v>
      </c>
      <c r="W40" s="119"/>
      <c r="X40" s="80"/>
    </row>
    <row r="41" spans="1:24" s="57" customFormat="1" ht="24.75" customHeight="1">
      <c r="A41" s="20">
        <f t="shared" si="3"/>
        <v>36</v>
      </c>
      <c r="B41" s="202" t="s">
        <v>32</v>
      </c>
      <c r="C41" s="209" t="s">
        <v>38</v>
      </c>
      <c r="D41" s="210" t="s">
        <v>1068</v>
      </c>
      <c r="E41" s="205" t="s">
        <v>650</v>
      </c>
      <c r="F41" s="206">
        <v>2</v>
      </c>
      <c r="G41" s="207">
        <v>3101501311399</v>
      </c>
      <c r="H41" s="27">
        <v>211478</v>
      </c>
      <c r="I41" s="93">
        <f t="shared" si="0"/>
        <v>80</v>
      </c>
      <c r="J41" s="93">
        <f t="shared" si="1"/>
        <v>8</v>
      </c>
      <c r="K41" s="93">
        <f t="shared" si="2"/>
        <v>29</v>
      </c>
      <c r="L41" s="93" t="str">
        <f t="shared" si="8"/>
        <v>80 ปี  8 เดือน  29 วัน</v>
      </c>
      <c r="M41" s="38">
        <f t="shared" si="9"/>
        <v>800</v>
      </c>
      <c r="N41" s="177"/>
      <c r="O41" s="244"/>
      <c r="P41" s="80"/>
      <c r="Q41" s="119"/>
      <c r="R41" s="114">
        <v>81</v>
      </c>
      <c r="S41" s="98">
        <f>COUNTIF(I40:I50,"81")</f>
        <v>3</v>
      </c>
      <c r="T41" s="105"/>
      <c r="U41" s="115" t="s">
        <v>7</v>
      </c>
      <c r="V41" s="352">
        <v>0</v>
      </c>
      <c r="W41" s="119" t="s">
        <v>684</v>
      </c>
      <c r="X41" s="80"/>
    </row>
    <row r="42" spans="1:24" s="57" customFormat="1" ht="29.25" customHeight="1">
      <c r="A42" s="20">
        <f t="shared" si="3"/>
        <v>37</v>
      </c>
      <c r="B42" s="21" t="s">
        <v>31</v>
      </c>
      <c r="C42" s="121" t="s">
        <v>136</v>
      </c>
      <c r="D42" s="122" t="s">
        <v>737</v>
      </c>
      <c r="E42" s="24" t="s">
        <v>100</v>
      </c>
      <c r="F42" s="25">
        <v>2</v>
      </c>
      <c r="G42" s="26">
        <v>3730600582254</v>
      </c>
      <c r="H42" s="27">
        <v>211210</v>
      </c>
      <c r="I42" s="28">
        <f t="shared" si="0"/>
        <v>81</v>
      </c>
      <c r="J42" s="93">
        <f t="shared" si="1"/>
        <v>5</v>
      </c>
      <c r="K42" s="93">
        <f t="shared" si="2"/>
        <v>22</v>
      </c>
      <c r="L42" s="93" t="str">
        <f t="shared" si="8"/>
        <v>81 ปี  5 เดือน  22 วัน</v>
      </c>
      <c r="M42" s="29">
        <f t="shared" si="9"/>
        <v>800</v>
      </c>
      <c r="N42" s="177"/>
      <c r="O42" s="244"/>
      <c r="P42" s="80"/>
      <c r="Q42" s="119"/>
      <c r="R42" s="114">
        <v>82</v>
      </c>
      <c r="S42" s="98">
        <f>COUNTIF(I40:I50,"82")</f>
        <v>0</v>
      </c>
      <c r="T42" s="108"/>
      <c r="U42" s="115" t="s">
        <v>8</v>
      </c>
      <c r="V42" s="352">
        <f>SUM(S40:S50)</f>
        <v>11</v>
      </c>
      <c r="W42" s="119"/>
      <c r="X42" s="80"/>
    </row>
    <row r="43" spans="1:24" s="57" customFormat="1" ht="29.25" customHeight="1">
      <c r="A43" s="20">
        <f t="shared" si="3"/>
        <v>38</v>
      </c>
      <c r="B43" s="21" t="s">
        <v>30</v>
      </c>
      <c r="C43" s="123" t="s">
        <v>228</v>
      </c>
      <c r="D43" s="124" t="s">
        <v>921</v>
      </c>
      <c r="E43" s="24" t="s">
        <v>910</v>
      </c>
      <c r="F43" s="25">
        <v>2</v>
      </c>
      <c r="G43" s="26">
        <v>3730600582386</v>
      </c>
      <c r="H43" s="27">
        <v>211134</v>
      </c>
      <c r="I43" s="28">
        <f t="shared" si="0"/>
        <v>81</v>
      </c>
      <c r="J43" s="93">
        <f t="shared" si="1"/>
        <v>8</v>
      </c>
      <c r="K43" s="93">
        <f t="shared" si="2"/>
        <v>8</v>
      </c>
      <c r="L43" s="93" t="str">
        <f t="shared" si="8"/>
        <v>81 ปี  8 เดือน  8 วัน</v>
      </c>
      <c r="M43" s="29">
        <f t="shared" si="9"/>
        <v>800</v>
      </c>
      <c r="N43" s="177"/>
      <c r="O43" s="244"/>
      <c r="P43" s="80"/>
      <c r="Q43" s="119"/>
      <c r="R43" s="114">
        <v>83</v>
      </c>
      <c r="S43" s="98">
        <f>COUNTIF(I40:I50,"83")</f>
        <v>3</v>
      </c>
      <c r="T43" s="108"/>
      <c r="U43" s="115" t="s">
        <v>9</v>
      </c>
      <c r="V43" s="352">
        <v>0</v>
      </c>
      <c r="W43" s="119"/>
      <c r="X43" s="80"/>
    </row>
    <row r="44" spans="1:24" s="57" customFormat="1" ht="26.25">
      <c r="A44" s="20">
        <f t="shared" si="3"/>
        <v>39</v>
      </c>
      <c r="B44" s="21" t="s">
        <v>31</v>
      </c>
      <c r="C44" s="123" t="s">
        <v>154</v>
      </c>
      <c r="D44" s="124" t="s">
        <v>747</v>
      </c>
      <c r="E44" s="24" t="s">
        <v>281</v>
      </c>
      <c r="F44" s="25">
        <v>2</v>
      </c>
      <c r="G44" s="26">
        <v>3730600583854</v>
      </c>
      <c r="H44" s="27">
        <v>211113</v>
      </c>
      <c r="I44" s="28">
        <f t="shared" si="0"/>
        <v>81</v>
      </c>
      <c r="J44" s="93">
        <f t="shared" si="1"/>
        <v>8</v>
      </c>
      <c r="K44" s="93">
        <f t="shared" si="2"/>
        <v>29</v>
      </c>
      <c r="L44" s="93" t="str">
        <f t="shared" si="8"/>
        <v>81 ปี  8 เดือน  29 วัน</v>
      </c>
      <c r="M44" s="29">
        <f t="shared" si="9"/>
        <v>800</v>
      </c>
      <c r="N44" s="30"/>
      <c r="O44" s="245"/>
      <c r="P44" s="80"/>
      <c r="Q44" s="119"/>
      <c r="R44" s="114">
        <v>84</v>
      </c>
      <c r="S44" s="98">
        <f>COUNTIF(I40:I50,"84")</f>
        <v>0</v>
      </c>
      <c r="T44" s="108"/>
      <c r="U44" s="113" t="s">
        <v>25</v>
      </c>
      <c r="V44" s="113">
        <f>SUM(V40:V43)</f>
        <v>11</v>
      </c>
      <c r="W44" s="119"/>
      <c r="X44" s="80"/>
    </row>
    <row r="45" spans="1:24" s="57" customFormat="1" ht="26.25">
      <c r="A45" s="20">
        <f t="shared" si="3"/>
        <v>40</v>
      </c>
      <c r="B45" s="21" t="s">
        <v>31</v>
      </c>
      <c r="C45" s="121" t="s">
        <v>1074</v>
      </c>
      <c r="D45" s="122" t="s">
        <v>737</v>
      </c>
      <c r="E45" s="24" t="s">
        <v>425</v>
      </c>
      <c r="F45" s="25">
        <v>2</v>
      </c>
      <c r="G45" s="26">
        <v>3730600578699</v>
      </c>
      <c r="H45" s="27">
        <v>210544</v>
      </c>
      <c r="I45" s="28">
        <f t="shared" si="0"/>
        <v>83</v>
      </c>
      <c r="J45" s="93">
        <f t="shared" si="1"/>
        <v>3</v>
      </c>
      <c r="K45" s="93">
        <f t="shared" si="2"/>
        <v>19</v>
      </c>
      <c r="L45" s="93" t="str">
        <f t="shared" si="8"/>
        <v>83 ปี  3 เดือน  19 วัน</v>
      </c>
      <c r="M45" s="29">
        <f t="shared" si="9"/>
        <v>800</v>
      </c>
      <c r="N45" s="39"/>
      <c r="O45" s="247" t="s">
        <v>1198</v>
      </c>
      <c r="P45" s="80"/>
      <c r="Q45" s="119"/>
      <c r="R45" s="114">
        <v>85</v>
      </c>
      <c r="S45" s="98">
        <f>COUNTIF(I40:I50,"85")</f>
        <v>0</v>
      </c>
      <c r="T45" s="101"/>
      <c r="U45" s="101"/>
      <c r="V45" s="101"/>
      <c r="W45" s="119"/>
      <c r="X45" s="80"/>
    </row>
    <row r="46" spans="1:24" s="57" customFormat="1" ht="26.25">
      <c r="A46" s="20">
        <f t="shared" si="3"/>
        <v>41</v>
      </c>
      <c r="B46" s="21" t="s">
        <v>30</v>
      </c>
      <c r="C46" s="123" t="s">
        <v>1075</v>
      </c>
      <c r="D46" s="124" t="s">
        <v>1059</v>
      </c>
      <c r="E46" s="24" t="s">
        <v>1060</v>
      </c>
      <c r="F46" s="25">
        <v>2</v>
      </c>
      <c r="G46" s="26">
        <v>3730300740903</v>
      </c>
      <c r="H46" s="27">
        <v>208597</v>
      </c>
      <c r="I46" s="28">
        <f t="shared" si="0"/>
        <v>88</v>
      </c>
      <c r="J46" s="93">
        <f t="shared" si="1"/>
        <v>7</v>
      </c>
      <c r="K46" s="93">
        <f t="shared" si="2"/>
        <v>19</v>
      </c>
      <c r="L46" s="93" t="str">
        <f t="shared" si="8"/>
        <v>88 ปี  7 เดือน  19 วัน</v>
      </c>
      <c r="M46" s="38">
        <f t="shared" si="9"/>
        <v>800</v>
      </c>
      <c r="N46" s="39"/>
      <c r="O46" s="247"/>
      <c r="P46" s="80"/>
      <c r="Q46" s="119"/>
      <c r="R46" s="114">
        <v>86</v>
      </c>
      <c r="S46" s="98">
        <f>COUNTIF(I40:I50,"86")</f>
        <v>0</v>
      </c>
      <c r="T46" s="101"/>
      <c r="U46" s="53"/>
      <c r="V46" s="53"/>
      <c r="W46" s="119"/>
      <c r="X46" s="80"/>
    </row>
    <row r="47" spans="1:24" s="57" customFormat="1" ht="26.25">
      <c r="A47" s="20">
        <f t="shared" si="3"/>
        <v>42</v>
      </c>
      <c r="B47" s="21" t="s">
        <v>31</v>
      </c>
      <c r="C47" s="123" t="s">
        <v>1078</v>
      </c>
      <c r="D47" s="124" t="s">
        <v>663</v>
      </c>
      <c r="E47" s="24" t="s">
        <v>129</v>
      </c>
      <c r="F47" s="25">
        <v>2</v>
      </c>
      <c r="G47" s="26">
        <v>3730600587884</v>
      </c>
      <c r="H47" s="27">
        <v>208191</v>
      </c>
      <c r="I47" s="28">
        <f t="shared" si="0"/>
        <v>89</v>
      </c>
      <c r="J47" s="93">
        <f t="shared" si="1"/>
        <v>8</v>
      </c>
      <c r="K47" s="93">
        <f t="shared" si="2"/>
        <v>29</v>
      </c>
      <c r="L47" s="93" t="str">
        <f t="shared" si="8"/>
        <v>89 ปี  8 เดือน  29 วัน</v>
      </c>
      <c r="M47" s="38">
        <f t="shared" si="9"/>
        <v>800</v>
      </c>
      <c r="N47" s="39"/>
      <c r="O47" s="247"/>
      <c r="P47" s="80"/>
      <c r="Q47" s="119"/>
      <c r="R47" s="114">
        <v>87</v>
      </c>
      <c r="S47" s="98">
        <f>COUNTIF(I40:I50,"87")</f>
        <v>0</v>
      </c>
      <c r="T47" s="101"/>
      <c r="U47" s="53"/>
      <c r="V47" s="53"/>
      <c r="W47" s="119"/>
      <c r="X47" s="80"/>
    </row>
    <row r="48" spans="1:24" s="57" customFormat="1" ht="26.25">
      <c r="A48" s="20">
        <f t="shared" si="3"/>
        <v>43</v>
      </c>
      <c r="B48" s="21" t="s">
        <v>31</v>
      </c>
      <c r="C48" s="123" t="s">
        <v>1079</v>
      </c>
      <c r="D48" s="124" t="s">
        <v>1070</v>
      </c>
      <c r="E48" s="24" t="s">
        <v>98</v>
      </c>
      <c r="F48" s="25">
        <v>2</v>
      </c>
      <c r="G48" s="26">
        <v>3730600581932</v>
      </c>
      <c r="H48" s="27">
        <v>210382</v>
      </c>
      <c r="I48" s="28">
        <f t="shared" si="0"/>
        <v>83</v>
      </c>
      <c r="J48" s="93">
        <f t="shared" si="1"/>
        <v>8</v>
      </c>
      <c r="K48" s="93">
        <f t="shared" si="2"/>
        <v>29</v>
      </c>
      <c r="L48" s="93" t="str">
        <f t="shared" si="8"/>
        <v>83 ปี  8 เดือน  29 วัน</v>
      </c>
      <c r="M48" s="38">
        <f t="shared" si="9"/>
        <v>800</v>
      </c>
      <c r="N48" s="39"/>
      <c r="O48" s="247"/>
      <c r="P48" s="80"/>
      <c r="Q48" s="119"/>
      <c r="R48" s="114">
        <v>88</v>
      </c>
      <c r="S48" s="98">
        <f>COUNTIF(I40:I50,"88")</f>
        <v>2</v>
      </c>
      <c r="T48" s="101"/>
      <c r="U48" s="54"/>
      <c r="V48" s="54"/>
      <c r="W48" s="119"/>
      <c r="X48" s="80"/>
    </row>
    <row r="49" spans="1:24" s="57" customFormat="1" ht="26.25">
      <c r="A49" s="20">
        <f t="shared" si="3"/>
        <v>44</v>
      </c>
      <c r="B49" s="238" t="s">
        <v>30</v>
      </c>
      <c r="C49" s="353" t="s">
        <v>1080</v>
      </c>
      <c r="D49" s="354" t="s">
        <v>666</v>
      </c>
      <c r="E49" s="355" t="s">
        <v>463</v>
      </c>
      <c r="F49" s="241">
        <v>2</v>
      </c>
      <c r="G49" s="236">
        <v>3730600583960</v>
      </c>
      <c r="H49" s="350">
        <v>210382</v>
      </c>
      <c r="I49" s="237">
        <f t="shared" si="0"/>
        <v>83</v>
      </c>
      <c r="J49" s="242">
        <f t="shared" si="1"/>
        <v>8</v>
      </c>
      <c r="K49" s="242">
        <f t="shared" si="2"/>
        <v>29</v>
      </c>
      <c r="L49" s="242" t="str">
        <f t="shared" si="8"/>
        <v>83 ปี  8 เดือน  29 วัน</v>
      </c>
      <c r="M49" s="356">
        <f t="shared" si="9"/>
        <v>800</v>
      </c>
      <c r="N49" s="357"/>
      <c r="O49" s="247"/>
      <c r="P49" s="80"/>
      <c r="Q49" s="119"/>
      <c r="R49" s="167">
        <v>89</v>
      </c>
      <c r="S49" s="98">
        <f>COUNTIF(I40:I50,"89")</f>
        <v>1</v>
      </c>
      <c r="T49" s="101"/>
      <c r="U49" s="1"/>
      <c r="V49" s="1"/>
      <c r="W49" s="119"/>
      <c r="X49" s="80"/>
    </row>
    <row r="50" spans="1:24" s="57" customFormat="1" ht="26.25">
      <c r="A50" s="20">
        <f t="shared" si="3"/>
        <v>45</v>
      </c>
      <c r="B50" s="21" t="s">
        <v>31</v>
      </c>
      <c r="C50" s="123" t="s">
        <v>371</v>
      </c>
      <c r="D50" s="124" t="s">
        <v>1082</v>
      </c>
      <c r="E50" s="24" t="s">
        <v>810</v>
      </c>
      <c r="F50" s="25">
        <v>2</v>
      </c>
      <c r="G50" s="26">
        <v>3730600584257</v>
      </c>
      <c r="H50" s="27">
        <v>208556</v>
      </c>
      <c r="I50" s="28">
        <f t="shared" si="0"/>
        <v>88</v>
      </c>
      <c r="J50" s="93">
        <f t="shared" si="1"/>
        <v>8</v>
      </c>
      <c r="K50" s="93">
        <f t="shared" si="2"/>
        <v>29</v>
      </c>
      <c r="L50" s="93" t="str">
        <f t="shared" si="8"/>
        <v>88 ปี  8 เดือน  29 วัน</v>
      </c>
      <c r="M50" s="38">
        <f t="shared" si="9"/>
        <v>800</v>
      </c>
      <c r="N50" s="261"/>
      <c r="O50" s="244"/>
      <c r="P50" s="80"/>
      <c r="Q50" s="119"/>
      <c r="R50" s="168">
        <v>90</v>
      </c>
      <c r="S50" s="160">
        <f>COUNTIF(I40:I50,"90")</f>
        <v>0</v>
      </c>
      <c r="T50" s="101"/>
      <c r="U50" s="1"/>
      <c r="V50" s="1"/>
      <c r="W50" s="119"/>
      <c r="X50" s="80"/>
    </row>
    <row r="51" spans="1:24" s="57" customFormat="1" ht="27" thickBot="1">
      <c r="A51" s="20">
        <f t="shared" si="3"/>
        <v>46</v>
      </c>
      <c r="B51" s="202" t="s">
        <v>31</v>
      </c>
      <c r="C51" s="211" t="s">
        <v>1029</v>
      </c>
      <c r="D51" s="212" t="s">
        <v>1086</v>
      </c>
      <c r="E51" s="205" t="s">
        <v>763</v>
      </c>
      <c r="F51" s="206">
        <v>3</v>
      </c>
      <c r="G51" s="207">
        <v>3730600592705</v>
      </c>
      <c r="H51" s="27">
        <v>211478</v>
      </c>
      <c r="I51" s="94">
        <f aca="true" t="shared" si="10" ref="I51:I57">DATEDIF(H51,$S$23,"Y")</f>
        <v>80</v>
      </c>
      <c r="J51" s="94">
        <f aca="true" t="shared" si="11" ref="J51:J57">DATEDIF(H51,$S$23,"YM")</f>
        <v>8</v>
      </c>
      <c r="K51" s="94">
        <f aca="true" t="shared" si="12" ref="K51:K57">DATEDIF(H51,$S$23,"MD")</f>
        <v>29</v>
      </c>
      <c r="L51" s="94" t="str">
        <f aca="true" t="shared" si="13" ref="L51:L57">I51&amp;" ปี  "&amp;J51&amp;" เดือน  "&amp;K51&amp;" วัน"</f>
        <v>80 ปี  8 เดือน  29 วัน</v>
      </c>
      <c r="M51" s="38">
        <f t="shared" si="9"/>
        <v>800</v>
      </c>
      <c r="N51" s="265"/>
      <c r="O51" s="244"/>
      <c r="P51" s="80"/>
      <c r="Q51" s="119"/>
      <c r="R51" s="170" t="s">
        <v>25</v>
      </c>
      <c r="S51" s="171">
        <f>SUM(S40:S50)</f>
        <v>11</v>
      </c>
      <c r="T51" s="119"/>
      <c r="U51" s="119"/>
      <c r="V51" s="119"/>
      <c r="W51" s="119"/>
      <c r="X51" s="80"/>
    </row>
    <row r="52" spans="1:24" s="57" customFormat="1" ht="27" thickTop="1">
      <c r="A52" s="20">
        <f t="shared" si="3"/>
        <v>47</v>
      </c>
      <c r="B52" s="202" t="s">
        <v>30</v>
      </c>
      <c r="C52" s="211" t="s">
        <v>58</v>
      </c>
      <c r="D52" s="212" t="s">
        <v>1088</v>
      </c>
      <c r="E52" s="205" t="s">
        <v>1089</v>
      </c>
      <c r="F52" s="206">
        <v>3</v>
      </c>
      <c r="G52" s="207">
        <v>3730600591318</v>
      </c>
      <c r="H52" s="27">
        <v>211572</v>
      </c>
      <c r="I52" s="94">
        <f t="shared" si="10"/>
        <v>80</v>
      </c>
      <c r="J52" s="94">
        <f t="shared" si="11"/>
        <v>5</v>
      </c>
      <c r="K52" s="94">
        <f t="shared" si="12"/>
        <v>25</v>
      </c>
      <c r="L52" s="94" t="str">
        <f t="shared" si="13"/>
        <v>80 ปี  5 เดือน  25 วัน</v>
      </c>
      <c r="M52" s="38">
        <f t="shared" si="9"/>
        <v>800</v>
      </c>
      <c r="N52" s="265"/>
      <c r="O52" s="244"/>
      <c r="P52" s="80"/>
      <c r="Q52" s="119"/>
      <c r="R52" s="96"/>
      <c r="S52" s="96"/>
      <c r="T52" s="119"/>
      <c r="U52" s="119"/>
      <c r="V52" s="119"/>
      <c r="W52" s="119"/>
      <c r="X52" s="80"/>
    </row>
    <row r="53" spans="1:24" s="57" customFormat="1" ht="26.25">
      <c r="A53" s="20">
        <f t="shared" si="3"/>
        <v>48</v>
      </c>
      <c r="B53" s="202" t="s">
        <v>30</v>
      </c>
      <c r="C53" s="211" t="s">
        <v>1092</v>
      </c>
      <c r="D53" s="212" t="s">
        <v>1093</v>
      </c>
      <c r="E53" s="205" t="s">
        <v>255</v>
      </c>
      <c r="F53" s="206">
        <v>3</v>
      </c>
      <c r="G53" s="207">
        <v>3730600592195</v>
      </c>
      <c r="H53" s="27">
        <v>211478</v>
      </c>
      <c r="I53" s="94">
        <f t="shared" si="10"/>
        <v>80</v>
      </c>
      <c r="J53" s="94">
        <f t="shared" si="11"/>
        <v>8</v>
      </c>
      <c r="K53" s="94">
        <f t="shared" si="12"/>
        <v>29</v>
      </c>
      <c r="L53" s="94" t="str">
        <f t="shared" si="13"/>
        <v>80 ปี  8 เดือน  29 วัน</v>
      </c>
      <c r="M53" s="38">
        <f t="shared" si="9"/>
        <v>800</v>
      </c>
      <c r="N53" s="265"/>
      <c r="O53" s="244"/>
      <c r="P53" s="80"/>
      <c r="Q53" s="119"/>
      <c r="R53" s="111" t="s">
        <v>0</v>
      </c>
      <c r="S53" s="112" t="s">
        <v>22</v>
      </c>
      <c r="T53" s="105"/>
      <c r="U53" s="113" t="s">
        <v>1</v>
      </c>
      <c r="V53" s="113" t="s">
        <v>22</v>
      </c>
      <c r="W53" s="119"/>
      <c r="X53" s="80"/>
    </row>
    <row r="54" spans="1:24" s="57" customFormat="1" ht="26.25">
      <c r="A54" s="20">
        <f t="shared" si="3"/>
        <v>49</v>
      </c>
      <c r="B54" s="202" t="s">
        <v>31</v>
      </c>
      <c r="C54" s="211" t="s">
        <v>88</v>
      </c>
      <c r="D54" s="212" t="s">
        <v>1094</v>
      </c>
      <c r="E54" s="205" t="s">
        <v>64</v>
      </c>
      <c r="F54" s="206">
        <v>3</v>
      </c>
      <c r="G54" s="207">
        <v>3730600592292</v>
      </c>
      <c r="H54" s="27">
        <v>211670</v>
      </c>
      <c r="I54" s="94">
        <f t="shared" si="10"/>
        <v>80</v>
      </c>
      <c r="J54" s="94">
        <f t="shared" si="11"/>
        <v>2</v>
      </c>
      <c r="K54" s="94">
        <f t="shared" si="12"/>
        <v>18</v>
      </c>
      <c r="L54" s="94" t="str">
        <f t="shared" si="13"/>
        <v>80 ปี  2 เดือน  18 วัน</v>
      </c>
      <c r="M54" s="38">
        <f t="shared" si="9"/>
        <v>800</v>
      </c>
      <c r="N54" s="265"/>
      <c r="O54" s="244"/>
      <c r="P54" s="80"/>
      <c r="Q54" s="119"/>
      <c r="R54" s="114">
        <v>80</v>
      </c>
      <c r="S54" s="98">
        <f>COUNTIF(I51:I70,"80")</f>
        <v>7</v>
      </c>
      <c r="T54" s="105"/>
      <c r="U54" s="115" t="s">
        <v>2</v>
      </c>
      <c r="V54" s="352">
        <v>0</v>
      </c>
      <c r="W54" s="119"/>
      <c r="X54" s="80"/>
    </row>
    <row r="55" spans="1:24" s="57" customFormat="1" ht="26.25">
      <c r="A55" s="20">
        <f t="shared" si="3"/>
        <v>50</v>
      </c>
      <c r="B55" s="202" t="s">
        <v>30</v>
      </c>
      <c r="C55" s="211" t="s">
        <v>1097</v>
      </c>
      <c r="D55" s="212" t="s">
        <v>682</v>
      </c>
      <c r="E55" s="205" t="s">
        <v>1096</v>
      </c>
      <c r="F55" s="206">
        <v>3</v>
      </c>
      <c r="G55" s="207">
        <v>3730600592446</v>
      </c>
      <c r="H55" s="27">
        <v>211478</v>
      </c>
      <c r="I55" s="94">
        <f t="shared" si="10"/>
        <v>80</v>
      </c>
      <c r="J55" s="94">
        <f t="shared" si="11"/>
        <v>8</v>
      </c>
      <c r="K55" s="94">
        <f t="shared" si="12"/>
        <v>29</v>
      </c>
      <c r="L55" s="94" t="str">
        <f t="shared" si="13"/>
        <v>80 ปี  8 เดือน  29 วัน</v>
      </c>
      <c r="M55" s="38">
        <f t="shared" si="9"/>
        <v>800</v>
      </c>
      <c r="N55" s="265"/>
      <c r="O55" s="244"/>
      <c r="P55" s="80"/>
      <c r="Q55" s="119"/>
      <c r="R55" s="114">
        <v>81</v>
      </c>
      <c r="S55" s="98">
        <f>COUNTIF(I51:I70,"81")</f>
        <v>3</v>
      </c>
      <c r="T55" s="105"/>
      <c r="U55" s="115" t="s">
        <v>7</v>
      </c>
      <c r="V55" s="352">
        <v>0</v>
      </c>
      <c r="W55" s="119" t="s">
        <v>265</v>
      </c>
      <c r="X55" s="80"/>
    </row>
    <row r="56" spans="1:24" s="57" customFormat="1" ht="26.25">
      <c r="A56" s="20">
        <f t="shared" si="3"/>
        <v>51</v>
      </c>
      <c r="B56" s="202" t="s">
        <v>31</v>
      </c>
      <c r="C56" s="211" t="s">
        <v>250</v>
      </c>
      <c r="D56" s="212" t="s">
        <v>343</v>
      </c>
      <c r="E56" s="205" t="s">
        <v>1102</v>
      </c>
      <c r="F56" s="206">
        <v>3</v>
      </c>
      <c r="G56" s="207">
        <v>3730600590737</v>
      </c>
      <c r="H56" s="27">
        <v>211589</v>
      </c>
      <c r="I56" s="94">
        <f t="shared" si="10"/>
        <v>80</v>
      </c>
      <c r="J56" s="94">
        <f t="shared" si="11"/>
        <v>5</v>
      </c>
      <c r="K56" s="94">
        <f t="shared" si="12"/>
        <v>8</v>
      </c>
      <c r="L56" s="94" t="str">
        <f t="shared" si="13"/>
        <v>80 ปี  5 เดือน  8 วัน</v>
      </c>
      <c r="M56" s="38">
        <f t="shared" si="9"/>
        <v>800</v>
      </c>
      <c r="N56" s="265"/>
      <c r="O56" s="244"/>
      <c r="P56" s="80"/>
      <c r="Q56" s="119"/>
      <c r="R56" s="114">
        <v>82</v>
      </c>
      <c r="S56" s="98">
        <f>COUNTIF(I51:I70,"82")</f>
        <v>1</v>
      </c>
      <c r="T56" s="108"/>
      <c r="U56" s="115" t="s">
        <v>8</v>
      </c>
      <c r="V56" s="352">
        <f>SUM(S54:S64)</f>
        <v>20</v>
      </c>
      <c r="W56" s="119"/>
      <c r="X56" s="80"/>
    </row>
    <row r="57" spans="1:24" s="57" customFormat="1" ht="26.25">
      <c r="A57" s="20">
        <f t="shared" si="3"/>
        <v>52</v>
      </c>
      <c r="B57" s="202" t="s">
        <v>31</v>
      </c>
      <c r="C57" s="211" t="s">
        <v>531</v>
      </c>
      <c r="D57" s="212" t="s">
        <v>1106</v>
      </c>
      <c r="E57" s="205" t="s">
        <v>373</v>
      </c>
      <c r="F57" s="206">
        <v>3</v>
      </c>
      <c r="G57" s="207">
        <v>3730600593116</v>
      </c>
      <c r="H57" s="27">
        <v>211478</v>
      </c>
      <c r="I57" s="94">
        <f t="shared" si="10"/>
        <v>80</v>
      </c>
      <c r="J57" s="94">
        <f t="shared" si="11"/>
        <v>8</v>
      </c>
      <c r="K57" s="94">
        <f t="shared" si="12"/>
        <v>29</v>
      </c>
      <c r="L57" s="94" t="str">
        <f t="shared" si="13"/>
        <v>80 ปี  8 เดือน  29 วัน</v>
      </c>
      <c r="M57" s="38">
        <f t="shared" si="9"/>
        <v>800</v>
      </c>
      <c r="N57" s="265"/>
      <c r="O57" s="244"/>
      <c r="P57" s="80"/>
      <c r="Q57" s="119"/>
      <c r="R57" s="114">
        <v>83</v>
      </c>
      <c r="S57" s="98">
        <f>COUNTIF(I51:I70,"83")</f>
        <v>2</v>
      </c>
      <c r="T57" s="108"/>
      <c r="U57" s="115" t="s">
        <v>9</v>
      </c>
      <c r="V57" s="352">
        <v>0</v>
      </c>
      <c r="W57" s="119"/>
      <c r="X57" s="80"/>
    </row>
    <row r="58" spans="1:24" s="57" customFormat="1" ht="21">
      <c r="A58" s="20">
        <f t="shared" si="3"/>
        <v>53</v>
      </c>
      <c r="B58" s="21" t="s">
        <v>31</v>
      </c>
      <c r="C58" s="22" t="s">
        <v>37</v>
      </c>
      <c r="D58" s="23" t="s">
        <v>828</v>
      </c>
      <c r="E58" s="24" t="s">
        <v>102</v>
      </c>
      <c r="F58" s="25">
        <v>3</v>
      </c>
      <c r="G58" s="26">
        <v>3730600591164</v>
      </c>
      <c r="H58" s="27">
        <v>211113</v>
      </c>
      <c r="I58" s="94">
        <f aca="true" t="shared" si="14" ref="I58:I68">DATEDIF(H58,$S$23,"Y")</f>
        <v>81</v>
      </c>
      <c r="J58" s="94">
        <f aca="true" t="shared" si="15" ref="J58:J68">DATEDIF(H58,$S$23,"YM")</f>
        <v>8</v>
      </c>
      <c r="K58" s="94">
        <f aca="true" t="shared" si="16" ref="K58:K68">DATEDIF(H58,$S$23,"MD")</f>
        <v>29</v>
      </c>
      <c r="L58" s="94" t="str">
        <f aca="true" t="shared" si="17" ref="L58:L68">I58&amp;" ปี  "&amp;J58&amp;" เดือน  "&amp;K58&amp;" วัน"</f>
        <v>81 ปี  8 เดือน  29 วัน</v>
      </c>
      <c r="M58" s="38">
        <f t="shared" si="9"/>
        <v>800</v>
      </c>
      <c r="N58" s="177"/>
      <c r="O58" s="244"/>
      <c r="P58" s="80"/>
      <c r="Q58" s="119"/>
      <c r="R58" s="114">
        <v>84</v>
      </c>
      <c r="S58" s="98">
        <f>COUNTIF(I51:I70,"84")</f>
        <v>1</v>
      </c>
      <c r="T58" s="108"/>
      <c r="U58" s="113" t="s">
        <v>25</v>
      </c>
      <c r="V58" s="113">
        <f>SUM(V54:V57)</f>
        <v>20</v>
      </c>
      <c r="W58" s="119"/>
      <c r="X58" s="80"/>
    </row>
    <row r="59" spans="1:24" s="57" customFormat="1" ht="21">
      <c r="A59" s="20">
        <f t="shared" si="3"/>
        <v>54</v>
      </c>
      <c r="B59" s="21" t="s">
        <v>30</v>
      </c>
      <c r="C59" s="22" t="s">
        <v>214</v>
      </c>
      <c r="D59" s="23" t="s">
        <v>729</v>
      </c>
      <c r="E59" s="24" t="s">
        <v>182</v>
      </c>
      <c r="F59" s="25">
        <v>3</v>
      </c>
      <c r="G59" s="26">
        <v>3730600592659</v>
      </c>
      <c r="H59" s="27">
        <v>211185</v>
      </c>
      <c r="I59" s="94">
        <f t="shared" si="14"/>
        <v>81</v>
      </c>
      <c r="J59" s="94">
        <f t="shared" si="15"/>
        <v>6</v>
      </c>
      <c r="K59" s="94">
        <f t="shared" si="16"/>
        <v>16</v>
      </c>
      <c r="L59" s="94" t="str">
        <f t="shared" si="17"/>
        <v>81 ปี  6 เดือน  16 วัน</v>
      </c>
      <c r="M59" s="38">
        <f t="shared" si="9"/>
        <v>800</v>
      </c>
      <c r="N59" s="177"/>
      <c r="O59" s="244"/>
      <c r="P59" s="80"/>
      <c r="Q59" s="119"/>
      <c r="R59" s="114">
        <v>85</v>
      </c>
      <c r="S59" s="98">
        <f>COUNTIF(I51:I70,"85")</f>
        <v>1</v>
      </c>
      <c r="T59" s="101"/>
      <c r="U59" s="101"/>
      <c r="V59" s="101"/>
      <c r="W59" s="119"/>
      <c r="X59" s="80"/>
    </row>
    <row r="60" spans="1:24" s="57" customFormat="1" ht="23.25">
      <c r="A60" s="20">
        <f t="shared" si="3"/>
        <v>55</v>
      </c>
      <c r="B60" s="21" t="s">
        <v>31</v>
      </c>
      <c r="C60" s="22" t="s">
        <v>217</v>
      </c>
      <c r="D60" s="23" t="s">
        <v>133</v>
      </c>
      <c r="E60" s="24" t="s">
        <v>134</v>
      </c>
      <c r="F60" s="25">
        <v>3</v>
      </c>
      <c r="G60" s="26">
        <v>3730600874735</v>
      </c>
      <c r="H60" s="27">
        <v>211113</v>
      </c>
      <c r="I60" s="94">
        <f t="shared" si="14"/>
        <v>81</v>
      </c>
      <c r="J60" s="94">
        <f t="shared" si="15"/>
        <v>8</v>
      </c>
      <c r="K60" s="94">
        <f t="shared" si="16"/>
        <v>29</v>
      </c>
      <c r="L60" s="94" t="str">
        <f t="shared" si="17"/>
        <v>81 ปี  8 เดือน  29 วัน</v>
      </c>
      <c r="M60" s="38">
        <f t="shared" si="9"/>
        <v>800</v>
      </c>
      <c r="N60" s="177"/>
      <c r="O60" s="244"/>
      <c r="P60" s="80"/>
      <c r="Q60" s="119"/>
      <c r="R60" s="114">
        <v>86</v>
      </c>
      <c r="S60" s="98">
        <f>COUNTIF(I51:I70,"86")</f>
        <v>1</v>
      </c>
      <c r="T60" s="101"/>
      <c r="U60" s="53"/>
      <c r="V60" s="53"/>
      <c r="W60" s="119"/>
      <c r="X60" s="80"/>
    </row>
    <row r="61" spans="1:24" s="57" customFormat="1" ht="26.25">
      <c r="A61" s="20">
        <f t="shared" si="3"/>
        <v>56</v>
      </c>
      <c r="B61" s="21" t="s">
        <v>32</v>
      </c>
      <c r="C61" s="22" t="s">
        <v>1107</v>
      </c>
      <c r="D61" s="23" t="s">
        <v>1090</v>
      </c>
      <c r="E61" s="24" t="s">
        <v>410</v>
      </c>
      <c r="F61" s="25">
        <v>3</v>
      </c>
      <c r="G61" s="26">
        <v>3730600591997</v>
      </c>
      <c r="H61" s="27">
        <v>210748</v>
      </c>
      <c r="I61" s="28">
        <f t="shared" si="14"/>
        <v>82</v>
      </c>
      <c r="J61" s="93">
        <f t="shared" si="15"/>
        <v>8</v>
      </c>
      <c r="K61" s="93">
        <f t="shared" si="16"/>
        <v>29</v>
      </c>
      <c r="L61" s="93" t="str">
        <f t="shared" si="17"/>
        <v>82 ปี  8 เดือน  29 วัน</v>
      </c>
      <c r="M61" s="38">
        <f t="shared" si="9"/>
        <v>800</v>
      </c>
      <c r="N61" s="39"/>
      <c r="O61" s="248"/>
      <c r="P61" s="80"/>
      <c r="Q61" s="119"/>
      <c r="R61" s="114">
        <v>87</v>
      </c>
      <c r="S61" s="98">
        <f>COUNTIF(I51:I70,"87")</f>
        <v>1</v>
      </c>
      <c r="T61" s="101"/>
      <c r="U61" s="53"/>
      <c r="V61" s="53"/>
      <c r="W61" s="119"/>
      <c r="X61" s="80"/>
    </row>
    <row r="62" spans="1:24" s="57" customFormat="1" ht="26.25">
      <c r="A62" s="20">
        <f t="shared" si="3"/>
        <v>57</v>
      </c>
      <c r="B62" s="21" t="s">
        <v>30</v>
      </c>
      <c r="C62" s="22" t="s">
        <v>1108</v>
      </c>
      <c r="D62" s="23" t="s">
        <v>726</v>
      </c>
      <c r="E62" s="24" t="s">
        <v>176</v>
      </c>
      <c r="F62" s="25">
        <v>3</v>
      </c>
      <c r="G62" s="26">
        <v>3730600590231</v>
      </c>
      <c r="H62" s="27">
        <v>210508</v>
      </c>
      <c r="I62" s="55">
        <f t="shared" si="14"/>
        <v>83</v>
      </c>
      <c r="J62" s="94">
        <f t="shared" si="15"/>
        <v>4</v>
      </c>
      <c r="K62" s="94">
        <f t="shared" si="16"/>
        <v>24</v>
      </c>
      <c r="L62" s="94" t="str">
        <f t="shared" si="17"/>
        <v>83 ปี  4 เดือน  24 วัน</v>
      </c>
      <c r="M62" s="38">
        <f t="shared" si="9"/>
        <v>800</v>
      </c>
      <c r="N62" s="39"/>
      <c r="O62" s="248" t="s">
        <v>1198</v>
      </c>
      <c r="P62" s="80"/>
      <c r="Q62" s="119"/>
      <c r="R62" s="114">
        <v>88</v>
      </c>
      <c r="S62" s="98">
        <f>COUNTIF(I51:I70,"88")</f>
        <v>2</v>
      </c>
      <c r="T62" s="101"/>
      <c r="U62" s="54"/>
      <c r="V62" s="54"/>
      <c r="W62" s="119"/>
      <c r="X62" s="80"/>
    </row>
    <row r="63" spans="1:24" s="57" customFormat="1" ht="26.25">
      <c r="A63" s="20">
        <f t="shared" si="3"/>
        <v>58</v>
      </c>
      <c r="B63" s="21" t="s">
        <v>31</v>
      </c>
      <c r="C63" s="22" t="s">
        <v>1109</v>
      </c>
      <c r="D63" s="23" t="s">
        <v>1110</v>
      </c>
      <c r="E63" s="24" t="s">
        <v>107</v>
      </c>
      <c r="F63" s="25" t="s">
        <v>265</v>
      </c>
      <c r="G63" s="26">
        <v>3730600592900</v>
      </c>
      <c r="H63" s="27">
        <v>208556</v>
      </c>
      <c r="I63" s="55">
        <f t="shared" si="14"/>
        <v>88</v>
      </c>
      <c r="J63" s="94">
        <f t="shared" si="15"/>
        <v>8</v>
      </c>
      <c r="K63" s="94">
        <f t="shared" si="16"/>
        <v>29</v>
      </c>
      <c r="L63" s="94" t="str">
        <f t="shared" si="17"/>
        <v>88 ปี  8 เดือน  29 วัน</v>
      </c>
      <c r="M63" s="38">
        <f t="shared" si="9"/>
        <v>800</v>
      </c>
      <c r="N63" s="39"/>
      <c r="O63" s="248" t="s">
        <v>261</v>
      </c>
      <c r="P63" s="80"/>
      <c r="Q63" s="119"/>
      <c r="R63" s="167">
        <v>89</v>
      </c>
      <c r="S63" s="98">
        <f>COUNTIF(I51:I70,"89")</f>
        <v>1</v>
      </c>
      <c r="T63" s="101"/>
      <c r="U63" s="1"/>
      <c r="V63" s="1"/>
      <c r="W63" s="119"/>
      <c r="X63" s="80"/>
    </row>
    <row r="64" spans="1:24" s="57" customFormat="1" ht="26.25">
      <c r="A64" s="20">
        <f t="shared" si="3"/>
        <v>59</v>
      </c>
      <c r="B64" s="21" t="s">
        <v>30</v>
      </c>
      <c r="C64" s="22" t="s">
        <v>169</v>
      </c>
      <c r="D64" s="23" t="s">
        <v>700</v>
      </c>
      <c r="E64" s="24" t="s">
        <v>351</v>
      </c>
      <c r="F64" s="25" t="s">
        <v>265</v>
      </c>
      <c r="G64" s="26">
        <v>3730600590788</v>
      </c>
      <c r="H64" s="27">
        <v>209652</v>
      </c>
      <c r="I64" s="55">
        <f t="shared" si="14"/>
        <v>85</v>
      </c>
      <c r="J64" s="94">
        <f t="shared" si="15"/>
        <v>8</v>
      </c>
      <c r="K64" s="94">
        <f t="shared" si="16"/>
        <v>29</v>
      </c>
      <c r="L64" s="94" t="str">
        <f t="shared" si="17"/>
        <v>85 ปี  8 เดือน  29 วัน</v>
      </c>
      <c r="M64" s="38">
        <f t="shared" si="9"/>
        <v>800</v>
      </c>
      <c r="N64" s="39"/>
      <c r="O64" s="248" t="s">
        <v>261</v>
      </c>
      <c r="P64" s="80"/>
      <c r="Q64" s="119"/>
      <c r="R64" s="168">
        <v>90</v>
      </c>
      <c r="S64" s="160">
        <f>COUNTIF(I51:I70,"90")</f>
        <v>0</v>
      </c>
      <c r="T64" s="101"/>
      <c r="U64" s="1"/>
      <c r="V64" s="1"/>
      <c r="W64" s="119"/>
      <c r="X64" s="80"/>
    </row>
    <row r="65" spans="1:24" s="57" customFormat="1" ht="27" thickBot="1">
      <c r="A65" s="20">
        <f t="shared" si="3"/>
        <v>60</v>
      </c>
      <c r="B65" s="21" t="s">
        <v>31</v>
      </c>
      <c r="C65" s="22" t="s">
        <v>1111</v>
      </c>
      <c r="D65" s="23" t="s">
        <v>700</v>
      </c>
      <c r="E65" s="24" t="s">
        <v>351</v>
      </c>
      <c r="F65" s="25">
        <v>3</v>
      </c>
      <c r="G65" s="26">
        <v>3730600590796</v>
      </c>
      <c r="H65" s="27">
        <v>209287</v>
      </c>
      <c r="I65" s="55">
        <f t="shared" si="14"/>
        <v>86</v>
      </c>
      <c r="J65" s="94">
        <f t="shared" si="15"/>
        <v>8</v>
      </c>
      <c r="K65" s="94">
        <f t="shared" si="16"/>
        <v>29</v>
      </c>
      <c r="L65" s="94" t="str">
        <f t="shared" si="17"/>
        <v>86 ปี  8 เดือน  29 วัน</v>
      </c>
      <c r="M65" s="38">
        <f t="shared" si="9"/>
        <v>800</v>
      </c>
      <c r="N65" s="39"/>
      <c r="O65" s="248"/>
      <c r="P65" s="80"/>
      <c r="Q65" s="119"/>
      <c r="R65" s="170" t="s">
        <v>25</v>
      </c>
      <c r="S65" s="171">
        <f>SUM(S54:S64)</f>
        <v>20</v>
      </c>
      <c r="T65" s="119"/>
      <c r="U65" s="119"/>
      <c r="V65" s="119"/>
      <c r="W65" s="119"/>
      <c r="X65" s="80"/>
    </row>
    <row r="66" spans="1:24" s="57" customFormat="1" ht="27" thickTop="1">
      <c r="A66" s="20">
        <f t="shared" si="3"/>
        <v>61</v>
      </c>
      <c r="B66" s="21" t="s">
        <v>31</v>
      </c>
      <c r="C66" s="22" t="s">
        <v>244</v>
      </c>
      <c r="D66" s="23" t="s">
        <v>1112</v>
      </c>
      <c r="E66" s="24" t="s">
        <v>1113</v>
      </c>
      <c r="F66" s="25">
        <v>3</v>
      </c>
      <c r="G66" s="26">
        <v>3730600127018</v>
      </c>
      <c r="H66" s="27">
        <v>208556</v>
      </c>
      <c r="I66" s="55">
        <f t="shared" si="14"/>
        <v>88</v>
      </c>
      <c r="J66" s="94">
        <f t="shared" si="15"/>
        <v>8</v>
      </c>
      <c r="K66" s="94">
        <f t="shared" si="16"/>
        <v>29</v>
      </c>
      <c r="L66" s="94" t="str">
        <f t="shared" si="17"/>
        <v>88 ปี  8 เดือน  29 วัน</v>
      </c>
      <c r="M66" s="38">
        <f t="shared" si="9"/>
        <v>800</v>
      </c>
      <c r="N66" s="39"/>
      <c r="O66" s="248"/>
      <c r="P66" s="80"/>
      <c r="Q66" s="119"/>
      <c r="R66" s="172"/>
      <c r="S66" s="96"/>
      <c r="T66" s="101"/>
      <c r="U66" s="351" t="s">
        <v>30</v>
      </c>
      <c r="V66" s="352">
        <f>COUNTIF(B6:B102,"นาย")</f>
        <v>39</v>
      </c>
      <c r="W66" s="119"/>
      <c r="X66" s="80"/>
    </row>
    <row r="67" spans="1:24" s="57" customFormat="1" ht="26.25">
      <c r="A67" s="20">
        <f t="shared" si="3"/>
        <v>62</v>
      </c>
      <c r="B67" s="21" t="s">
        <v>31</v>
      </c>
      <c r="C67" s="22" t="s">
        <v>1115</v>
      </c>
      <c r="D67" s="23" t="s">
        <v>729</v>
      </c>
      <c r="E67" s="24" t="s">
        <v>628</v>
      </c>
      <c r="F67" s="25">
        <v>3</v>
      </c>
      <c r="G67" s="26">
        <v>3730600591571</v>
      </c>
      <c r="H67" s="27">
        <v>208921</v>
      </c>
      <c r="I67" s="55">
        <f t="shared" si="14"/>
        <v>87</v>
      </c>
      <c r="J67" s="94">
        <f t="shared" si="15"/>
        <v>8</v>
      </c>
      <c r="K67" s="94">
        <f t="shared" si="16"/>
        <v>29</v>
      </c>
      <c r="L67" s="94" t="str">
        <f t="shared" si="17"/>
        <v>87 ปี  8 เดือน  29 วัน</v>
      </c>
      <c r="M67" s="38">
        <f t="shared" si="9"/>
        <v>800</v>
      </c>
      <c r="N67" s="39"/>
      <c r="O67" s="248"/>
      <c r="P67" s="80"/>
      <c r="Q67" s="119"/>
      <c r="R67" s="96"/>
      <c r="S67" s="96"/>
      <c r="T67" s="119"/>
      <c r="U67" s="351" t="s">
        <v>31</v>
      </c>
      <c r="V67" s="352">
        <f>COUNTIF(B6:B102,"นาง")</f>
        <v>50</v>
      </c>
      <c r="W67" s="119"/>
      <c r="X67" s="80"/>
    </row>
    <row r="68" spans="1:24" s="57" customFormat="1" ht="26.25">
      <c r="A68" s="20">
        <f t="shared" si="3"/>
        <v>63</v>
      </c>
      <c r="B68" s="21" t="s">
        <v>30</v>
      </c>
      <c r="C68" s="22" t="s">
        <v>1116</v>
      </c>
      <c r="D68" s="23" t="s">
        <v>1094</v>
      </c>
      <c r="E68" s="24" t="s">
        <v>64</v>
      </c>
      <c r="F68" s="25">
        <v>3</v>
      </c>
      <c r="G68" s="26">
        <v>3730600592314</v>
      </c>
      <c r="H68" s="27">
        <v>208191</v>
      </c>
      <c r="I68" s="55">
        <f t="shared" si="14"/>
        <v>89</v>
      </c>
      <c r="J68" s="94">
        <f t="shared" si="15"/>
        <v>8</v>
      </c>
      <c r="K68" s="94">
        <f t="shared" si="16"/>
        <v>29</v>
      </c>
      <c r="L68" s="94" t="str">
        <f t="shared" si="17"/>
        <v>89 ปี  8 เดือน  29 วัน</v>
      </c>
      <c r="M68" s="38">
        <f t="shared" si="9"/>
        <v>800</v>
      </c>
      <c r="N68" s="39"/>
      <c r="O68" s="249"/>
      <c r="P68" s="80"/>
      <c r="Q68" s="119"/>
      <c r="R68" s="96"/>
      <c r="S68" s="96"/>
      <c r="T68" s="119"/>
      <c r="U68" s="351" t="s">
        <v>32</v>
      </c>
      <c r="V68" s="352">
        <f>COUNTIF(B6:B102,"น.ส.")</f>
        <v>8</v>
      </c>
      <c r="W68" s="119"/>
      <c r="X68" s="80"/>
    </row>
    <row r="69" spans="1:24" s="57" customFormat="1" ht="26.25">
      <c r="A69" s="20">
        <f t="shared" si="3"/>
        <v>64</v>
      </c>
      <c r="B69" s="21" t="s">
        <v>30</v>
      </c>
      <c r="C69" s="22" t="s">
        <v>1117</v>
      </c>
      <c r="D69" s="23" t="s">
        <v>193</v>
      </c>
      <c r="E69" s="24" t="s">
        <v>78</v>
      </c>
      <c r="F69" s="25">
        <v>3</v>
      </c>
      <c r="G69" s="26">
        <v>3730600593205</v>
      </c>
      <c r="H69" s="27">
        <v>210624</v>
      </c>
      <c r="I69" s="55">
        <f aca="true" t="shared" si="18" ref="I69:I84">DATEDIF(H69,$S$23,"Y")</f>
        <v>83</v>
      </c>
      <c r="J69" s="94">
        <f aca="true" t="shared" si="19" ref="J69:J82">DATEDIF(H69,$S$23,"YM")</f>
        <v>1</v>
      </c>
      <c r="K69" s="94">
        <f aca="true" t="shared" si="20" ref="K69:K82">DATEDIF(H69,$S$23,"MD")</f>
        <v>0</v>
      </c>
      <c r="L69" s="94" t="str">
        <f aca="true" t="shared" si="21" ref="L69:L82">I69&amp;" ปี  "&amp;J69&amp;" เดือน  "&amp;K69&amp;" วัน"</f>
        <v>83 ปี  1 เดือน  0 วัน</v>
      </c>
      <c r="M69" s="38">
        <f aca="true" t="shared" si="22" ref="M69:M80">IF(I69&lt;=69,600,IF(I69&lt;=79,700,IF(I69&lt;=89,800,IF(I69&gt;=90,1000))))</f>
        <v>800</v>
      </c>
      <c r="N69" s="39"/>
      <c r="O69" s="248"/>
      <c r="P69" s="80"/>
      <c r="Q69" s="119"/>
      <c r="R69" s="96"/>
      <c r="S69" s="96"/>
      <c r="T69" s="119"/>
      <c r="U69" s="352" t="s">
        <v>25</v>
      </c>
      <c r="V69" s="352">
        <f>SUM(V66:V68)</f>
        <v>97</v>
      </c>
      <c r="W69" s="119"/>
      <c r="X69" s="80"/>
    </row>
    <row r="70" spans="1:24" s="57" customFormat="1" ht="26.25">
      <c r="A70" s="20">
        <f t="shared" si="3"/>
        <v>65</v>
      </c>
      <c r="B70" s="21" t="s">
        <v>31</v>
      </c>
      <c r="C70" s="22" t="s">
        <v>1118</v>
      </c>
      <c r="D70" s="23" t="s">
        <v>343</v>
      </c>
      <c r="E70" s="24" t="s">
        <v>474</v>
      </c>
      <c r="F70" s="25">
        <v>3</v>
      </c>
      <c r="G70" s="26">
        <v>3730600593825</v>
      </c>
      <c r="H70" s="27">
        <v>210017</v>
      </c>
      <c r="I70" s="55">
        <f t="shared" si="18"/>
        <v>84</v>
      </c>
      <c r="J70" s="94">
        <f t="shared" si="19"/>
        <v>8</v>
      </c>
      <c r="K70" s="94">
        <f t="shared" si="20"/>
        <v>29</v>
      </c>
      <c r="L70" s="94" t="str">
        <f t="shared" si="21"/>
        <v>84 ปี  8 เดือน  29 วัน</v>
      </c>
      <c r="M70" s="38">
        <f t="shared" si="22"/>
        <v>800</v>
      </c>
      <c r="N70" s="39"/>
      <c r="O70" s="248"/>
      <c r="P70" s="80"/>
      <c r="Q70" s="119"/>
      <c r="R70" s="96"/>
      <c r="S70" s="119"/>
      <c r="T70" s="119"/>
      <c r="U70" s="119"/>
      <c r="V70" s="119"/>
      <c r="W70" s="119"/>
      <c r="X70" s="80"/>
    </row>
    <row r="71" spans="1:24" s="57" customFormat="1" ht="26.25">
      <c r="A71" s="20">
        <f aca="true" t="shared" si="23" ref="A71:A102">A70+1</f>
        <v>66</v>
      </c>
      <c r="B71" s="21" t="s">
        <v>30</v>
      </c>
      <c r="C71" s="22" t="s">
        <v>252</v>
      </c>
      <c r="D71" s="23" t="s">
        <v>826</v>
      </c>
      <c r="E71" s="24" t="s">
        <v>1132</v>
      </c>
      <c r="F71" s="25" t="s">
        <v>268</v>
      </c>
      <c r="G71" s="26">
        <v>3730600594261</v>
      </c>
      <c r="H71" s="27">
        <v>211478</v>
      </c>
      <c r="I71" s="94">
        <f>DATEDIF(H71,$S$23,"Y")</f>
        <v>80</v>
      </c>
      <c r="J71" s="94">
        <f>DATEDIF(H71,$S$23,"YM")</f>
        <v>8</v>
      </c>
      <c r="K71" s="94">
        <f>DATEDIF(H71,$S$23,"MD")</f>
        <v>29</v>
      </c>
      <c r="L71" s="94" t="str">
        <f>I71&amp;" ปี  "&amp;J71&amp;" เดือน  "&amp;K71&amp;" วัน"</f>
        <v>80 ปี  8 เดือน  29 วัน</v>
      </c>
      <c r="M71" s="38">
        <f>IF(I71&lt;=69,600,IF(I71&lt;=79,700,IF(I71&lt;=89,800,IF(I71&gt;=90,1000))))</f>
        <v>800</v>
      </c>
      <c r="N71" s="39"/>
      <c r="O71" s="248"/>
      <c r="P71" s="80"/>
      <c r="Q71" s="119"/>
      <c r="R71" s="111" t="s">
        <v>0</v>
      </c>
      <c r="S71" s="112" t="s">
        <v>22</v>
      </c>
      <c r="T71" s="105"/>
      <c r="U71" s="113" t="s">
        <v>1</v>
      </c>
      <c r="V71" s="113" t="s">
        <v>22</v>
      </c>
      <c r="W71" s="119"/>
      <c r="X71" s="80"/>
    </row>
    <row r="72" spans="1:24" s="57" customFormat="1" ht="26.25">
      <c r="A72" s="20">
        <f t="shared" si="23"/>
        <v>67</v>
      </c>
      <c r="B72" s="238" t="s">
        <v>31</v>
      </c>
      <c r="C72" s="239" t="s">
        <v>1133</v>
      </c>
      <c r="D72" s="240" t="s">
        <v>775</v>
      </c>
      <c r="E72" s="355" t="s">
        <v>103</v>
      </c>
      <c r="F72" s="241" t="s">
        <v>268</v>
      </c>
      <c r="G72" s="236">
        <v>3730600595429</v>
      </c>
      <c r="H72" s="350">
        <v>211734</v>
      </c>
      <c r="I72" s="457">
        <f>DATEDIF(H72,$S$23,"Y")</f>
        <v>80</v>
      </c>
      <c r="J72" s="457">
        <f>DATEDIF(H72,$S$23,"YM")</f>
        <v>0</v>
      </c>
      <c r="K72" s="457">
        <f>DATEDIF(H72,$S$23,"MD")</f>
        <v>16</v>
      </c>
      <c r="L72" s="457" t="str">
        <f>I72&amp;" ปี  "&amp;J72&amp;" เดือน  "&amp;K72&amp;" วัน"</f>
        <v>80 ปี  0 เดือน  16 วัน</v>
      </c>
      <c r="M72" s="356">
        <f>IF(I72&lt;=69,600,IF(I72&lt;=79,700,IF(I72&lt;=89,800,IF(I72&gt;=90,1000))))</f>
        <v>800</v>
      </c>
      <c r="N72" s="357"/>
      <c r="O72" s="458" t="s">
        <v>1547</v>
      </c>
      <c r="P72" s="80"/>
      <c r="Q72" s="119"/>
      <c r="R72" s="114">
        <v>80</v>
      </c>
      <c r="S72" s="98">
        <f>COUNTIF(I71:I80,"80")</f>
        <v>2</v>
      </c>
      <c r="T72" s="105"/>
      <c r="U72" s="115" t="s">
        <v>2</v>
      </c>
      <c r="V72" s="352">
        <v>0</v>
      </c>
      <c r="W72" s="119"/>
      <c r="X72" s="80"/>
    </row>
    <row r="73" spans="1:24" s="57" customFormat="1" ht="21">
      <c r="A73" s="20">
        <f t="shared" si="23"/>
        <v>68</v>
      </c>
      <c r="B73" s="21" t="s">
        <v>31</v>
      </c>
      <c r="C73" s="22" t="s">
        <v>685</v>
      </c>
      <c r="D73" s="23" t="s">
        <v>1134</v>
      </c>
      <c r="E73" s="24" t="s">
        <v>104</v>
      </c>
      <c r="F73" s="25">
        <v>4</v>
      </c>
      <c r="G73" s="26">
        <v>3730600595461</v>
      </c>
      <c r="H73" s="27">
        <v>211113</v>
      </c>
      <c r="I73" s="94">
        <f t="shared" si="18"/>
        <v>81</v>
      </c>
      <c r="J73" s="94">
        <f t="shared" si="19"/>
        <v>8</v>
      </c>
      <c r="K73" s="94">
        <f t="shared" si="20"/>
        <v>29</v>
      </c>
      <c r="L73" s="94" t="str">
        <f t="shared" si="21"/>
        <v>81 ปี  8 เดือน  29 วัน</v>
      </c>
      <c r="M73" s="38">
        <f t="shared" si="22"/>
        <v>800</v>
      </c>
      <c r="N73" s="177"/>
      <c r="O73" s="244"/>
      <c r="P73" s="80"/>
      <c r="Q73" s="119"/>
      <c r="R73" s="114">
        <v>81</v>
      </c>
      <c r="S73" s="98">
        <f>COUNTIF(I71:I80,"81")</f>
        <v>1</v>
      </c>
      <c r="T73" s="105"/>
      <c r="U73" s="115" t="s">
        <v>7</v>
      </c>
      <c r="V73" s="352">
        <v>0</v>
      </c>
      <c r="W73" s="119"/>
      <c r="X73" s="80"/>
    </row>
    <row r="74" spans="1:24" s="57" customFormat="1" ht="26.25">
      <c r="A74" s="20">
        <f t="shared" si="23"/>
        <v>69</v>
      </c>
      <c r="B74" s="21" t="s">
        <v>31</v>
      </c>
      <c r="C74" s="22" t="s">
        <v>224</v>
      </c>
      <c r="D74" s="23" t="s">
        <v>775</v>
      </c>
      <c r="E74" s="24" t="s">
        <v>1018</v>
      </c>
      <c r="F74" s="25">
        <v>4</v>
      </c>
      <c r="G74" s="26">
        <v>3730600595721</v>
      </c>
      <c r="H74" s="27">
        <v>208921</v>
      </c>
      <c r="I74" s="28">
        <f t="shared" si="18"/>
        <v>87</v>
      </c>
      <c r="J74" s="93">
        <f t="shared" si="19"/>
        <v>8</v>
      </c>
      <c r="K74" s="93">
        <f t="shared" si="20"/>
        <v>29</v>
      </c>
      <c r="L74" s="93" t="str">
        <f t="shared" si="21"/>
        <v>87 ปี  8 เดือน  29 วัน</v>
      </c>
      <c r="M74" s="38">
        <f t="shared" si="22"/>
        <v>800</v>
      </c>
      <c r="N74" s="39"/>
      <c r="O74" s="248"/>
      <c r="P74" s="80"/>
      <c r="Q74" s="119"/>
      <c r="R74" s="114">
        <v>82</v>
      </c>
      <c r="S74" s="98">
        <f>COUNTIF(I71:I80,"82")</f>
        <v>0</v>
      </c>
      <c r="T74" s="108"/>
      <c r="U74" s="115" t="s">
        <v>8</v>
      </c>
      <c r="V74" s="352">
        <f>SUM(S72:S82)</f>
        <v>10</v>
      </c>
      <c r="W74" s="119" t="s">
        <v>268</v>
      </c>
      <c r="X74" s="80"/>
    </row>
    <row r="75" spans="1:24" s="57" customFormat="1" ht="26.25">
      <c r="A75" s="20">
        <f t="shared" si="23"/>
        <v>70</v>
      </c>
      <c r="B75" s="21" t="s">
        <v>30</v>
      </c>
      <c r="C75" s="22" t="s">
        <v>1141</v>
      </c>
      <c r="D75" s="23" t="s">
        <v>776</v>
      </c>
      <c r="E75" s="24" t="s">
        <v>181</v>
      </c>
      <c r="F75" s="25">
        <v>4</v>
      </c>
      <c r="G75" s="26">
        <v>3730600596085</v>
      </c>
      <c r="H75" s="27">
        <v>210017</v>
      </c>
      <c r="I75" s="55">
        <f t="shared" si="18"/>
        <v>84</v>
      </c>
      <c r="J75" s="94">
        <f t="shared" si="19"/>
        <v>8</v>
      </c>
      <c r="K75" s="94">
        <f t="shared" si="20"/>
        <v>29</v>
      </c>
      <c r="L75" s="94" t="str">
        <f t="shared" si="21"/>
        <v>84 ปี  8 เดือน  29 วัน</v>
      </c>
      <c r="M75" s="38">
        <f t="shared" si="22"/>
        <v>800</v>
      </c>
      <c r="N75" s="39"/>
      <c r="O75" s="248"/>
      <c r="P75" s="80"/>
      <c r="Q75" s="119"/>
      <c r="R75" s="114">
        <v>83</v>
      </c>
      <c r="S75" s="98">
        <f>COUNTIF(I71:I80,"83")</f>
        <v>1</v>
      </c>
      <c r="T75" s="108"/>
      <c r="U75" s="115" t="s">
        <v>9</v>
      </c>
      <c r="V75" s="352">
        <v>0</v>
      </c>
      <c r="W75" s="119"/>
      <c r="X75" s="80"/>
    </row>
    <row r="76" spans="1:24" s="57" customFormat="1" ht="26.25">
      <c r="A76" s="20">
        <f t="shared" si="23"/>
        <v>71</v>
      </c>
      <c r="B76" s="21" t="s">
        <v>32</v>
      </c>
      <c r="C76" s="22" t="s">
        <v>1099</v>
      </c>
      <c r="D76" s="23" t="s">
        <v>1142</v>
      </c>
      <c r="E76" s="24" t="s">
        <v>100</v>
      </c>
      <c r="F76" s="25">
        <v>4</v>
      </c>
      <c r="G76" s="26">
        <v>3730600594872</v>
      </c>
      <c r="H76" s="27">
        <v>209652</v>
      </c>
      <c r="I76" s="55">
        <f t="shared" si="18"/>
        <v>85</v>
      </c>
      <c r="J76" s="94">
        <f t="shared" si="19"/>
        <v>8</v>
      </c>
      <c r="K76" s="94">
        <f t="shared" si="20"/>
        <v>29</v>
      </c>
      <c r="L76" s="94" t="str">
        <f t="shared" si="21"/>
        <v>85 ปี  8 เดือน  29 วัน</v>
      </c>
      <c r="M76" s="38">
        <f t="shared" si="22"/>
        <v>800</v>
      </c>
      <c r="N76" s="39"/>
      <c r="O76" s="248"/>
      <c r="P76" s="81"/>
      <c r="Q76" s="101"/>
      <c r="R76" s="114">
        <v>84</v>
      </c>
      <c r="S76" s="98">
        <f>COUNTIF(I71:I80,"84")</f>
        <v>2</v>
      </c>
      <c r="T76" s="108"/>
      <c r="U76" s="113" t="s">
        <v>25</v>
      </c>
      <c r="V76" s="113">
        <f>SUM(V72:V75)</f>
        <v>10</v>
      </c>
      <c r="W76" s="101"/>
      <c r="X76" s="81"/>
    </row>
    <row r="77" spans="1:24" s="57" customFormat="1" ht="26.25">
      <c r="A77" s="20">
        <f t="shared" si="23"/>
        <v>72</v>
      </c>
      <c r="B77" s="21" t="s">
        <v>31</v>
      </c>
      <c r="C77" s="22" t="s">
        <v>86</v>
      </c>
      <c r="D77" s="23" t="s">
        <v>788</v>
      </c>
      <c r="E77" s="24" t="s">
        <v>1143</v>
      </c>
      <c r="F77" s="25">
        <v>4</v>
      </c>
      <c r="G77" s="26">
        <v>3730600595542</v>
      </c>
      <c r="H77" s="27">
        <v>209287</v>
      </c>
      <c r="I77" s="55">
        <f t="shared" si="18"/>
        <v>86</v>
      </c>
      <c r="J77" s="94">
        <f t="shared" si="19"/>
        <v>8</v>
      </c>
      <c r="K77" s="94">
        <f t="shared" si="20"/>
        <v>29</v>
      </c>
      <c r="L77" s="94" t="str">
        <f t="shared" si="21"/>
        <v>86 ปี  8 เดือน  29 วัน</v>
      </c>
      <c r="M77" s="38">
        <f t="shared" si="22"/>
        <v>800</v>
      </c>
      <c r="N77" s="39"/>
      <c r="O77" s="248"/>
      <c r="P77" s="80"/>
      <c r="Q77" s="101"/>
      <c r="R77" s="114">
        <v>85</v>
      </c>
      <c r="S77" s="98">
        <f>COUNTIF(I71:I80,"85")</f>
        <v>1</v>
      </c>
      <c r="T77" s="101"/>
      <c r="U77" s="101"/>
      <c r="V77" s="101"/>
      <c r="W77" s="101"/>
      <c r="X77" s="80"/>
    </row>
    <row r="78" spans="1:24" ht="26.25">
      <c r="A78" s="20">
        <f t="shared" si="23"/>
        <v>73</v>
      </c>
      <c r="B78" s="21" t="s">
        <v>30</v>
      </c>
      <c r="C78" s="22" t="s">
        <v>143</v>
      </c>
      <c r="D78" s="23" t="s">
        <v>1128</v>
      </c>
      <c r="E78" s="24" t="s">
        <v>177</v>
      </c>
      <c r="F78" s="25">
        <v>4</v>
      </c>
      <c r="G78" s="26">
        <v>3730600594775</v>
      </c>
      <c r="H78" s="27">
        <v>210017</v>
      </c>
      <c r="I78" s="55">
        <f t="shared" si="18"/>
        <v>84</v>
      </c>
      <c r="J78" s="94">
        <f t="shared" si="19"/>
        <v>8</v>
      </c>
      <c r="K78" s="94">
        <f t="shared" si="20"/>
        <v>29</v>
      </c>
      <c r="L78" s="94" t="str">
        <f t="shared" si="21"/>
        <v>84 ปี  8 เดือน  29 วัน</v>
      </c>
      <c r="M78" s="38">
        <f t="shared" si="22"/>
        <v>800</v>
      </c>
      <c r="N78" s="39"/>
      <c r="O78" s="248" t="s">
        <v>1198</v>
      </c>
      <c r="P78" s="57"/>
      <c r="R78" s="114">
        <v>86</v>
      </c>
      <c r="S78" s="98">
        <f>COUNTIF(I71:I80,"86")</f>
        <v>2</v>
      </c>
      <c r="U78" s="53"/>
      <c r="V78" s="53"/>
      <c r="X78" s="57"/>
    </row>
    <row r="79" spans="1:24" ht="26.25">
      <c r="A79" s="20">
        <f t="shared" si="23"/>
        <v>74</v>
      </c>
      <c r="B79" s="21" t="s">
        <v>31</v>
      </c>
      <c r="C79" s="22" t="s">
        <v>1144</v>
      </c>
      <c r="D79" s="23" t="s">
        <v>1128</v>
      </c>
      <c r="E79" s="24" t="s">
        <v>177</v>
      </c>
      <c r="F79" s="25">
        <v>4</v>
      </c>
      <c r="G79" s="26">
        <v>3730600594783</v>
      </c>
      <c r="H79" s="27">
        <v>210588</v>
      </c>
      <c r="I79" s="55">
        <f t="shared" si="18"/>
        <v>83</v>
      </c>
      <c r="J79" s="94">
        <f t="shared" si="19"/>
        <v>2</v>
      </c>
      <c r="K79" s="94">
        <f t="shared" si="20"/>
        <v>5</v>
      </c>
      <c r="L79" s="94" t="str">
        <f t="shared" si="21"/>
        <v>83 ปี  2 เดือน  5 วัน</v>
      </c>
      <c r="M79" s="38">
        <f t="shared" si="22"/>
        <v>800</v>
      </c>
      <c r="N79" s="39"/>
      <c r="O79" s="248"/>
      <c r="P79" s="57"/>
      <c r="Q79" s="119"/>
      <c r="R79" s="114">
        <v>87</v>
      </c>
      <c r="S79" s="98">
        <f>COUNTIF(I71:I80,"87")</f>
        <v>1</v>
      </c>
      <c r="U79" s="53"/>
      <c r="V79" s="53"/>
      <c r="W79" s="119"/>
      <c r="X79" s="57"/>
    </row>
    <row r="80" spans="1:23" s="57" customFormat="1" ht="26.25">
      <c r="A80" s="20">
        <f t="shared" si="23"/>
        <v>75</v>
      </c>
      <c r="B80" s="21" t="s">
        <v>31</v>
      </c>
      <c r="C80" s="22" t="s">
        <v>1145</v>
      </c>
      <c r="D80" s="23" t="s">
        <v>1146</v>
      </c>
      <c r="E80" s="24" t="s">
        <v>254</v>
      </c>
      <c r="F80" s="25">
        <v>4</v>
      </c>
      <c r="G80" s="26">
        <v>3730600597049</v>
      </c>
      <c r="H80" s="27">
        <v>209287</v>
      </c>
      <c r="I80" s="55">
        <f t="shared" si="18"/>
        <v>86</v>
      </c>
      <c r="J80" s="94">
        <f t="shared" si="19"/>
        <v>8</v>
      </c>
      <c r="K80" s="94">
        <f t="shared" si="20"/>
        <v>29</v>
      </c>
      <c r="L80" s="94" t="str">
        <f t="shared" si="21"/>
        <v>86 ปี  8 เดือน  29 วัน</v>
      </c>
      <c r="M80" s="38">
        <f t="shared" si="22"/>
        <v>800</v>
      </c>
      <c r="N80" s="39"/>
      <c r="O80" s="248"/>
      <c r="Q80" s="101"/>
      <c r="R80" s="114">
        <v>88</v>
      </c>
      <c r="S80" s="98">
        <f>COUNTIF(I71:I80,"88")</f>
        <v>0</v>
      </c>
      <c r="T80" s="101"/>
      <c r="U80" s="54"/>
      <c r="V80" s="54"/>
      <c r="W80" s="101"/>
    </row>
    <row r="81" spans="1:23" s="57" customFormat="1" ht="26.25">
      <c r="A81" s="20">
        <f t="shared" si="23"/>
        <v>76</v>
      </c>
      <c r="B81" s="253" t="s">
        <v>31</v>
      </c>
      <c r="C81" s="262" t="s">
        <v>897</v>
      </c>
      <c r="D81" s="263" t="s">
        <v>1040</v>
      </c>
      <c r="E81" s="254" t="s">
        <v>111</v>
      </c>
      <c r="F81" s="255">
        <v>5</v>
      </c>
      <c r="G81" s="256">
        <v>3730600600252</v>
      </c>
      <c r="H81" s="257">
        <v>211478</v>
      </c>
      <c r="I81" s="264">
        <f>DATEDIF(H81,$S$23,"Y")</f>
        <v>80</v>
      </c>
      <c r="J81" s="264">
        <f t="shared" si="19"/>
        <v>8</v>
      </c>
      <c r="K81" s="264">
        <f t="shared" si="20"/>
        <v>29</v>
      </c>
      <c r="L81" s="264" t="str">
        <f t="shared" si="21"/>
        <v>80 ปี  8 เดือน  29 วัน</v>
      </c>
      <c r="M81" s="260">
        <f>IF(I81&lt;=69,600,IF(I81&lt;=79,700,IF(I81&lt;=89,800,IF(I81&gt;=90,1000))))</f>
        <v>800</v>
      </c>
      <c r="N81" s="39"/>
      <c r="O81" s="267"/>
      <c r="Q81" s="101"/>
      <c r="R81" s="167">
        <v>89</v>
      </c>
      <c r="S81" s="98">
        <f>COUNTIF(I71:I80,"89")</f>
        <v>0</v>
      </c>
      <c r="T81" s="101"/>
      <c r="U81" s="1"/>
      <c r="V81" s="1"/>
      <c r="W81" s="101"/>
    </row>
    <row r="82" spans="1:23" s="57" customFormat="1" ht="26.25">
      <c r="A82" s="20">
        <f t="shared" si="23"/>
        <v>77</v>
      </c>
      <c r="B82" s="21" t="s">
        <v>30</v>
      </c>
      <c r="C82" s="22" t="s">
        <v>191</v>
      </c>
      <c r="D82" s="23" t="s">
        <v>285</v>
      </c>
      <c r="E82" s="24" t="s">
        <v>96</v>
      </c>
      <c r="F82" s="25">
        <v>5</v>
      </c>
      <c r="G82" s="26">
        <v>3730600597219</v>
      </c>
      <c r="H82" s="27">
        <v>211478</v>
      </c>
      <c r="I82" s="94">
        <f>DATEDIF(H82,$S$23,"Y")</f>
        <v>80</v>
      </c>
      <c r="J82" s="94">
        <f t="shared" si="19"/>
        <v>8</v>
      </c>
      <c r="K82" s="94">
        <f t="shared" si="20"/>
        <v>29</v>
      </c>
      <c r="L82" s="94" t="str">
        <f t="shared" si="21"/>
        <v>80 ปี  8 เดือน  29 วัน</v>
      </c>
      <c r="M82" s="38">
        <f>IF(I82&lt;=69,600,IF(I82&lt;=79,700,IF(I82&lt;=89,800,IF(I82&gt;=90,1000))))</f>
        <v>800</v>
      </c>
      <c r="N82" s="39"/>
      <c r="O82" s="248"/>
      <c r="Q82" s="101"/>
      <c r="R82" s="168">
        <v>90</v>
      </c>
      <c r="S82" s="160">
        <f>COUNTIF(I71:I80,"90")</f>
        <v>0</v>
      </c>
      <c r="T82" s="101"/>
      <c r="U82" s="1"/>
      <c r="V82" s="1"/>
      <c r="W82" s="101"/>
    </row>
    <row r="83" spans="1:22" ht="21.75" thickBot="1">
      <c r="A83" s="20">
        <f t="shared" si="23"/>
        <v>78</v>
      </c>
      <c r="B83" s="21" t="s">
        <v>32</v>
      </c>
      <c r="C83" s="22" t="s">
        <v>248</v>
      </c>
      <c r="D83" s="23" t="s">
        <v>806</v>
      </c>
      <c r="E83" s="24" t="s">
        <v>104</v>
      </c>
      <c r="F83" s="25">
        <v>5</v>
      </c>
      <c r="G83" s="26">
        <v>3730600598134</v>
      </c>
      <c r="H83" s="27">
        <v>211186</v>
      </c>
      <c r="I83" s="94">
        <f t="shared" si="18"/>
        <v>81</v>
      </c>
      <c r="J83" s="94">
        <f aca="true" t="shared" si="24" ref="J83:J90">DATEDIF(H83,$S$23,"YM")</f>
        <v>6</v>
      </c>
      <c r="K83" s="94">
        <f aca="true" t="shared" si="25" ref="K83:K90">DATEDIF(H83,$S$23,"MD")</f>
        <v>15</v>
      </c>
      <c r="L83" s="94" t="str">
        <f aca="true" t="shared" si="26" ref="L83:L90">I83&amp;" ปี  "&amp;J83&amp;" เดือน  "&amp;K83&amp;" วัน"</f>
        <v>81 ปี  6 เดือน  15 วัน</v>
      </c>
      <c r="M83" s="38">
        <f aca="true" t="shared" si="27" ref="M83:M90">IF(I83&lt;=69,600,IF(I83&lt;=79,700,IF(I83&lt;=89,800,IF(I83&gt;=90,1000))))</f>
        <v>800</v>
      </c>
      <c r="N83" s="177"/>
      <c r="O83" s="244"/>
      <c r="Q83" s="172"/>
      <c r="R83" s="170" t="s">
        <v>25</v>
      </c>
      <c r="S83" s="171">
        <f>SUM(S72:S82)</f>
        <v>10</v>
      </c>
      <c r="T83" s="119"/>
      <c r="U83" s="119"/>
      <c r="V83" s="119"/>
    </row>
    <row r="84" spans="1:21" ht="21.75" thickTop="1">
      <c r="A84" s="20">
        <f t="shared" si="23"/>
        <v>79</v>
      </c>
      <c r="B84" s="21" t="s">
        <v>30</v>
      </c>
      <c r="C84" s="22" t="s">
        <v>1156</v>
      </c>
      <c r="D84" s="23" t="s">
        <v>942</v>
      </c>
      <c r="E84" s="24" t="s">
        <v>767</v>
      </c>
      <c r="F84" s="25">
        <v>5</v>
      </c>
      <c r="G84" s="26">
        <v>3730600597430</v>
      </c>
      <c r="H84" s="27">
        <v>211185</v>
      </c>
      <c r="I84" s="94">
        <f t="shared" si="18"/>
        <v>81</v>
      </c>
      <c r="J84" s="94">
        <f t="shared" si="24"/>
        <v>6</v>
      </c>
      <c r="K84" s="94">
        <f t="shared" si="25"/>
        <v>16</v>
      </c>
      <c r="L84" s="94" t="str">
        <f t="shared" si="26"/>
        <v>81 ปี  6 เดือน  16 วัน</v>
      </c>
      <c r="M84" s="38">
        <f t="shared" si="27"/>
        <v>800</v>
      </c>
      <c r="N84" s="177"/>
      <c r="O84" s="244"/>
      <c r="Q84" s="172"/>
      <c r="R84" s="96"/>
      <c r="S84" s="119"/>
      <c r="T84" s="175"/>
      <c r="U84" s="96"/>
    </row>
    <row r="85" spans="1:24" s="57" customFormat="1" ht="26.25">
      <c r="A85" s="20">
        <f t="shared" si="23"/>
        <v>80</v>
      </c>
      <c r="B85" s="21" t="s">
        <v>31</v>
      </c>
      <c r="C85" s="22" t="s">
        <v>164</v>
      </c>
      <c r="D85" s="23" t="s">
        <v>348</v>
      </c>
      <c r="E85" s="24" t="s">
        <v>665</v>
      </c>
      <c r="F85" s="25">
        <v>5</v>
      </c>
      <c r="G85" s="26">
        <v>3730600598444</v>
      </c>
      <c r="H85" s="27">
        <v>210664</v>
      </c>
      <c r="I85" s="28">
        <f aca="true" t="shared" si="28" ref="I85:I90">DATEDIF(H85,$S$23,"Y")</f>
        <v>82</v>
      </c>
      <c r="J85" s="93">
        <f t="shared" si="24"/>
        <v>11</v>
      </c>
      <c r="K85" s="93">
        <f t="shared" si="25"/>
        <v>21</v>
      </c>
      <c r="L85" s="93" t="str">
        <f t="shared" si="26"/>
        <v>82 ปี  11 เดือน  21 วัน</v>
      </c>
      <c r="M85" s="38">
        <f t="shared" si="27"/>
        <v>800</v>
      </c>
      <c r="N85" s="39"/>
      <c r="O85" s="248"/>
      <c r="P85" s="42"/>
      <c r="Q85" s="172"/>
      <c r="R85" s="111" t="s">
        <v>0</v>
      </c>
      <c r="S85" s="112" t="s">
        <v>22</v>
      </c>
      <c r="T85" s="105"/>
      <c r="U85" s="113" t="s">
        <v>1</v>
      </c>
      <c r="V85" s="113" t="s">
        <v>22</v>
      </c>
      <c r="W85" s="101"/>
      <c r="X85" s="42"/>
    </row>
    <row r="86" spans="1:24" s="57" customFormat="1" ht="26.25">
      <c r="A86" s="20">
        <f t="shared" si="23"/>
        <v>81</v>
      </c>
      <c r="B86" s="21" t="s">
        <v>30</v>
      </c>
      <c r="C86" s="22" t="s">
        <v>347</v>
      </c>
      <c r="D86" s="23" t="s">
        <v>123</v>
      </c>
      <c r="E86" s="24" t="s">
        <v>1159</v>
      </c>
      <c r="F86" s="25">
        <v>5</v>
      </c>
      <c r="G86" s="26">
        <v>3730600597391</v>
      </c>
      <c r="H86" s="27">
        <v>210382</v>
      </c>
      <c r="I86" s="55">
        <f t="shared" si="28"/>
        <v>83</v>
      </c>
      <c r="J86" s="94">
        <f t="shared" si="24"/>
        <v>8</v>
      </c>
      <c r="K86" s="94">
        <f t="shared" si="25"/>
        <v>29</v>
      </c>
      <c r="L86" s="94" t="str">
        <f t="shared" si="26"/>
        <v>83 ปี  8 เดือน  29 วัน</v>
      </c>
      <c r="M86" s="38">
        <f t="shared" si="27"/>
        <v>800</v>
      </c>
      <c r="N86" s="39"/>
      <c r="O86" s="248"/>
      <c r="P86" s="42"/>
      <c r="Q86" s="172"/>
      <c r="R86" s="114">
        <v>80</v>
      </c>
      <c r="S86" s="98">
        <f>COUNTIF(I81:I90,"80")</f>
        <v>2</v>
      </c>
      <c r="T86" s="105"/>
      <c r="U86" s="115" t="s">
        <v>2</v>
      </c>
      <c r="V86" s="352">
        <v>0</v>
      </c>
      <c r="W86" s="101"/>
      <c r="X86" s="42"/>
    </row>
    <row r="87" spans="1:24" s="57" customFormat="1" ht="26.25">
      <c r="A87" s="20">
        <f t="shared" si="23"/>
        <v>82</v>
      </c>
      <c r="B87" s="21" t="s">
        <v>30</v>
      </c>
      <c r="C87" s="22" t="s">
        <v>936</v>
      </c>
      <c r="D87" s="23" t="s">
        <v>1158</v>
      </c>
      <c r="E87" s="24" t="s">
        <v>1159</v>
      </c>
      <c r="F87" s="25">
        <v>5</v>
      </c>
      <c r="G87" s="26">
        <v>3730600597561</v>
      </c>
      <c r="H87" s="27">
        <v>210163</v>
      </c>
      <c r="I87" s="55">
        <f t="shared" si="28"/>
        <v>84</v>
      </c>
      <c r="J87" s="94">
        <f t="shared" si="24"/>
        <v>4</v>
      </c>
      <c r="K87" s="94">
        <f t="shared" si="25"/>
        <v>3</v>
      </c>
      <c r="L87" s="94" t="str">
        <f t="shared" si="26"/>
        <v>84 ปี  4 เดือน  3 วัน</v>
      </c>
      <c r="M87" s="38">
        <f t="shared" si="27"/>
        <v>800</v>
      </c>
      <c r="N87" s="39"/>
      <c r="O87" s="248" t="s">
        <v>1198</v>
      </c>
      <c r="P87" s="42"/>
      <c r="Q87" s="172"/>
      <c r="R87" s="114">
        <v>81</v>
      </c>
      <c r="S87" s="98">
        <f>COUNTIF(I81:I90,"81")</f>
        <v>2</v>
      </c>
      <c r="T87" s="105"/>
      <c r="U87" s="115" t="s">
        <v>7</v>
      </c>
      <c r="V87" s="352">
        <v>0</v>
      </c>
      <c r="W87" s="101" t="s">
        <v>1179</v>
      </c>
      <c r="X87" s="42"/>
    </row>
    <row r="88" spans="1:24" s="57" customFormat="1" ht="26.25">
      <c r="A88" s="20">
        <f t="shared" si="23"/>
        <v>83</v>
      </c>
      <c r="B88" s="21" t="s">
        <v>30</v>
      </c>
      <c r="C88" s="22" t="s">
        <v>1174</v>
      </c>
      <c r="D88" s="23" t="s">
        <v>1162</v>
      </c>
      <c r="E88" s="24" t="s">
        <v>60</v>
      </c>
      <c r="F88" s="25">
        <v>5</v>
      </c>
      <c r="G88" s="26">
        <v>3730600597995</v>
      </c>
      <c r="H88" s="27">
        <v>210545</v>
      </c>
      <c r="I88" s="55">
        <f t="shared" si="28"/>
        <v>83</v>
      </c>
      <c r="J88" s="94">
        <f t="shared" si="24"/>
        <v>3</v>
      </c>
      <c r="K88" s="94">
        <f t="shared" si="25"/>
        <v>18</v>
      </c>
      <c r="L88" s="94" t="str">
        <f t="shared" si="26"/>
        <v>83 ปี  3 เดือน  18 วัน</v>
      </c>
      <c r="M88" s="38">
        <f t="shared" si="27"/>
        <v>800</v>
      </c>
      <c r="N88" s="39"/>
      <c r="O88" s="248"/>
      <c r="P88" s="42"/>
      <c r="Q88" s="172"/>
      <c r="R88" s="114">
        <v>82</v>
      </c>
      <c r="S88" s="98">
        <f>COUNTIF(I81:I90,"82")</f>
        <v>1</v>
      </c>
      <c r="T88" s="108"/>
      <c r="U88" s="115" t="s">
        <v>8</v>
      </c>
      <c r="V88" s="352">
        <f>SUM(S86:S96)</f>
        <v>10</v>
      </c>
      <c r="W88" s="119"/>
      <c r="X88" s="42"/>
    </row>
    <row r="89" spans="1:24" s="57" customFormat="1" ht="26.25">
      <c r="A89" s="20">
        <f t="shared" si="23"/>
        <v>84</v>
      </c>
      <c r="B89" s="21" t="s">
        <v>30</v>
      </c>
      <c r="C89" s="22" t="s">
        <v>59</v>
      </c>
      <c r="D89" s="23" t="s">
        <v>1164</v>
      </c>
      <c r="E89" s="24" t="s">
        <v>1165</v>
      </c>
      <c r="F89" s="25">
        <v>5</v>
      </c>
      <c r="G89" s="26">
        <v>3730600599408</v>
      </c>
      <c r="H89" s="27">
        <v>210017</v>
      </c>
      <c r="I89" s="55">
        <f t="shared" si="28"/>
        <v>84</v>
      </c>
      <c r="J89" s="94">
        <f t="shared" si="24"/>
        <v>8</v>
      </c>
      <c r="K89" s="94">
        <f t="shared" si="25"/>
        <v>29</v>
      </c>
      <c r="L89" s="94" t="str">
        <f t="shared" si="26"/>
        <v>84 ปี  8 เดือน  29 วัน</v>
      </c>
      <c r="M89" s="38">
        <f t="shared" si="27"/>
        <v>800</v>
      </c>
      <c r="N89" s="39"/>
      <c r="O89" s="248"/>
      <c r="P89" s="42"/>
      <c r="Q89" s="172"/>
      <c r="R89" s="114">
        <v>83</v>
      </c>
      <c r="S89" s="98">
        <f>COUNTIF(I81:I90,"83")</f>
        <v>2</v>
      </c>
      <c r="T89" s="108"/>
      <c r="U89" s="115" t="s">
        <v>9</v>
      </c>
      <c r="V89" s="352">
        <v>0</v>
      </c>
      <c r="W89" s="101"/>
      <c r="X89" s="42"/>
    </row>
    <row r="90" spans="1:24" s="82" customFormat="1" ht="26.25">
      <c r="A90" s="20">
        <f t="shared" si="23"/>
        <v>85</v>
      </c>
      <c r="B90" s="21" t="s">
        <v>31</v>
      </c>
      <c r="C90" s="22" t="s">
        <v>204</v>
      </c>
      <c r="D90" s="23" t="s">
        <v>1175</v>
      </c>
      <c r="E90" s="24" t="s">
        <v>1176</v>
      </c>
      <c r="F90" s="25">
        <v>5</v>
      </c>
      <c r="G90" s="26">
        <v>3730600131716</v>
      </c>
      <c r="H90" s="27">
        <v>210250</v>
      </c>
      <c r="I90" s="55">
        <f t="shared" si="28"/>
        <v>84</v>
      </c>
      <c r="J90" s="94">
        <f t="shared" si="24"/>
        <v>1</v>
      </c>
      <c r="K90" s="94">
        <f t="shared" si="25"/>
        <v>8</v>
      </c>
      <c r="L90" s="94" t="str">
        <f t="shared" si="26"/>
        <v>84 ปี  1 เดือน  8 วัน</v>
      </c>
      <c r="M90" s="38">
        <f t="shared" si="27"/>
        <v>800</v>
      </c>
      <c r="N90" s="39"/>
      <c r="O90" s="248"/>
      <c r="P90" s="57"/>
      <c r="Q90" s="172"/>
      <c r="R90" s="114">
        <v>84</v>
      </c>
      <c r="S90" s="98">
        <f>COUNTIF(I81:I90,"84")</f>
        <v>3</v>
      </c>
      <c r="T90" s="108"/>
      <c r="U90" s="113" t="s">
        <v>25</v>
      </c>
      <c r="V90" s="113">
        <f>SUM(V86:V89)</f>
        <v>10</v>
      </c>
      <c r="W90" s="101"/>
      <c r="X90" s="57"/>
    </row>
    <row r="91" spans="1:24" s="82" customFormat="1" ht="26.25">
      <c r="A91" s="20">
        <f t="shared" si="23"/>
        <v>86</v>
      </c>
      <c r="B91" s="202" t="s">
        <v>30</v>
      </c>
      <c r="C91" s="211" t="s">
        <v>53</v>
      </c>
      <c r="D91" s="212" t="s">
        <v>1180</v>
      </c>
      <c r="E91" s="205" t="s">
        <v>97</v>
      </c>
      <c r="F91" s="206">
        <v>6</v>
      </c>
      <c r="G91" s="207">
        <v>3730600586730</v>
      </c>
      <c r="H91" s="208">
        <v>211667</v>
      </c>
      <c r="I91" s="55">
        <f aca="true" t="shared" si="29" ref="I91:I102">DATEDIF(H91,$S$23,"Y")</f>
        <v>80</v>
      </c>
      <c r="J91" s="94">
        <f aca="true" t="shared" si="30" ref="J91:J102">DATEDIF(H91,$S$23,"YM")</f>
        <v>2</v>
      </c>
      <c r="K91" s="94">
        <f aca="true" t="shared" si="31" ref="K91:K102">DATEDIF(H91,$S$23,"MD")</f>
        <v>21</v>
      </c>
      <c r="L91" s="94" t="str">
        <f aca="true" t="shared" si="32" ref="L91:L102">I91&amp;" ปี  "&amp;J91&amp;" เดือน  "&amp;K91&amp;" วัน"</f>
        <v>80 ปี  2 เดือน  21 วัน</v>
      </c>
      <c r="M91" s="38">
        <f aca="true" t="shared" si="33" ref="M91:M102">IF(I91&lt;=69,600,IF(I91&lt;=79,700,IF(I91&lt;=89,800,IF(I91&gt;=90,1000))))</f>
        <v>800</v>
      </c>
      <c r="N91" s="39"/>
      <c r="O91" s="248"/>
      <c r="P91" s="57"/>
      <c r="Q91" s="172"/>
      <c r="R91" s="114">
        <v>85</v>
      </c>
      <c r="S91" s="98">
        <f>COUNTIF(I81:I90,"85")</f>
        <v>0</v>
      </c>
      <c r="T91" s="101"/>
      <c r="U91" s="101"/>
      <c r="V91" s="101"/>
      <c r="W91" s="101"/>
      <c r="X91" s="57"/>
    </row>
    <row r="92" spans="1:24" s="82" customFormat="1" ht="26.25">
      <c r="A92" s="20">
        <f t="shared" si="23"/>
        <v>87</v>
      </c>
      <c r="B92" s="202" t="s">
        <v>30</v>
      </c>
      <c r="C92" s="211" t="s">
        <v>245</v>
      </c>
      <c r="D92" s="212" t="s">
        <v>1181</v>
      </c>
      <c r="E92" s="205" t="s">
        <v>184</v>
      </c>
      <c r="F92" s="206">
        <v>6</v>
      </c>
      <c r="G92" s="207">
        <v>3730600588937</v>
      </c>
      <c r="H92" s="208">
        <v>211478</v>
      </c>
      <c r="I92" s="55">
        <f t="shared" si="29"/>
        <v>80</v>
      </c>
      <c r="J92" s="94">
        <f t="shared" si="30"/>
        <v>8</v>
      </c>
      <c r="K92" s="94">
        <f t="shared" si="31"/>
        <v>29</v>
      </c>
      <c r="L92" s="94" t="str">
        <f t="shared" si="32"/>
        <v>80 ปี  8 เดือน  29 วัน</v>
      </c>
      <c r="M92" s="38">
        <f t="shared" si="33"/>
        <v>800</v>
      </c>
      <c r="N92" s="39"/>
      <c r="O92" s="248"/>
      <c r="P92" s="57"/>
      <c r="Q92" s="172"/>
      <c r="R92" s="114">
        <v>86</v>
      </c>
      <c r="S92" s="98">
        <f>COUNTIF(I81:I90,"86")</f>
        <v>0</v>
      </c>
      <c r="T92" s="101"/>
      <c r="U92" s="53"/>
      <c r="V92" s="53"/>
      <c r="W92" s="101"/>
      <c r="X92" s="57"/>
    </row>
    <row r="93" spans="1:24" s="82" customFormat="1" ht="26.25">
      <c r="A93" s="20">
        <f t="shared" si="23"/>
        <v>88</v>
      </c>
      <c r="B93" s="202" t="s">
        <v>32</v>
      </c>
      <c r="C93" s="211" t="s">
        <v>1182</v>
      </c>
      <c r="D93" s="212" t="s">
        <v>1180</v>
      </c>
      <c r="E93" s="205" t="s">
        <v>103</v>
      </c>
      <c r="F93" s="206">
        <v>6</v>
      </c>
      <c r="G93" s="207">
        <v>3730600584249</v>
      </c>
      <c r="H93" s="208">
        <v>211593</v>
      </c>
      <c r="I93" s="55">
        <f t="shared" si="29"/>
        <v>80</v>
      </c>
      <c r="J93" s="94">
        <f t="shared" si="30"/>
        <v>5</v>
      </c>
      <c r="K93" s="94">
        <f t="shared" si="31"/>
        <v>4</v>
      </c>
      <c r="L93" s="94" t="str">
        <f t="shared" si="32"/>
        <v>80 ปี  5 เดือน  4 วัน</v>
      </c>
      <c r="M93" s="38">
        <f t="shared" si="33"/>
        <v>800</v>
      </c>
      <c r="N93" s="39"/>
      <c r="O93" s="248"/>
      <c r="P93" s="57"/>
      <c r="Q93" s="172"/>
      <c r="R93" s="114">
        <v>87</v>
      </c>
      <c r="S93" s="98">
        <f>COUNTIF(I81:I90,"87")</f>
        <v>0</v>
      </c>
      <c r="T93" s="101"/>
      <c r="U93" s="53"/>
      <c r="V93" s="53"/>
      <c r="W93" s="101"/>
      <c r="X93" s="57"/>
    </row>
    <row r="94" spans="1:24" s="82" customFormat="1" ht="26.25">
      <c r="A94" s="20">
        <f t="shared" si="23"/>
        <v>89</v>
      </c>
      <c r="B94" s="202" t="s">
        <v>31</v>
      </c>
      <c r="C94" s="211" t="s">
        <v>1186</v>
      </c>
      <c r="D94" s="212" t="s">
        <v>1187</v>
      </c>
      <c r="E94" s="205" t="s">
        <v>263</v>
      </c>
      <c r="F94" s="206">
        <v>6</v>
      </c>
      <c r="G94" s="207">
        <v>3730600512680</v>
      </c>
      <c r="H94" s="208">
        <v>211398</v>
      </c>
      <c r="I94" s="55">
        <f t="shared" si="29"/>
        <v>80</v>
      </c>
      <c r="J94" s="94">
        <f t="shared" si="30"/>
        <v>11</v>
      </c>
      <c r="K94" s="94">
        <f t="shared" si="31"/>
        <v>17</v>
      </c>
      <c r="L94" s="94" t="str">
        <f t="shared" si="32"/>
        <v>80 ปี  11 เดือน  17 วัน</v>
      </c>
      <c r="M94" s="38">
        <f t="shared" si="33"/>
        <v>800</v>
      </c>
      <c r="N94" s="39"/>
      <c r="O94" s="248"/>
      <c r="P94" s="57"/>
      <c r="Q94" s="172"/>
      <c r="R94" s="114">
        <v>88</v>
      </c>
      <c r="S94" s="98">
        <f>COUNTIF(I81:I90,"88")</f>
        <v>0</v>
      </c>
      <c r="T94" s="101"/>
      <c r="U94" s="54"/>
      <c r="V94" s="54"/>
      <c r="W94" s="101"/>
      <c r="X94" s="57"/>
    </row>
    <row r="95" spans="1:23" ht="26.25">
      <c r="A95" s="20">
        <f t="shared" si="23"/>
        <v>90</v>
      </c>
      <c r="B95" s="21" t="s">
        <v>31</v>
      </c>
      <c r="C95" s="22" t="s">
        <v>142</v>
      </c>
      <c r="D95" s="23" t="s">
        <v>56</v>
      </c>
      <c r="E95" s="24" t="s">
        <v>256</v>
      </c>
      <c r="F95" s="25">
        <v>6</v>
      </c>
      <c r="G95" s="26">
        <v>3730600587701</v>
      </c>
      <c r="H95" s="27">
        <v>210748</v>
      </c>
      <c r="I95" s="28">
        <f t="shared" si="29"/>
        <v>82</v>
      </c>
      <c r="J95" s="93">
        <f t="shared" si="30"/>
        <v>8</v>
      </c>
      <c r="K95" s="93">
        <f t="shared" si="31"/>
        <v>29</v>
      </c>
      <c r="L95" s="93" t="str">
        <f t="shared" si="32"/>
        <v>82 ปี  8 เดือน  29 วัน</v>
      </c>
      <c r="M95" s="38">
        <f t="shared" si="33"/>
        <v>800</v>
      </c>
      <c r="N95" s="11"/>
      <c r="O95" s="243"/>
      <c r="Q95" s="172"/>
      <c r="R95" s="167">
        <v>89</v>
      </c>
      <c r="S95" s="98">
        <f>COUNTIF(I81:I90,"89")</f>
        <v>0</v>
      </c>
      <c r="U95" s="1"/>
      <c r="V95" s="1"/>
      <c r="W95" s="119"/>
    </row>
    <row r="96" spans="1:23" ht="26.25">
      <c r="A96" s="20">
        <f t="shared" si="23"/>
        <v>91</v>
      </c>
      <c r="B96" s="21" t="s">
        <v>31</v>
      </c>
      <c r="C96" s="22" t="s">
        <v>661</v>
      </c>
      <c r="D96" s="23" t="s">
        <v>1180</v>
      </c>
      <c r="E96" s="24" t="s">
        <v>178</v>
      </c>
      <c r="F96" s="25">
        <v>6</v>
      </c>
      <c r="G96" s="26">
        <v>3730600588112</v>
      </c>
      <c r="H96" s="27">
        <v>208921</v>
      </c>
      <c r="I96" s="55">
        <f t="shared" si="29"/>
        <v>87</v>
      </c>
      <c r="J96" s="94">
        <f t="shared" si="30"/>
        <v>8</v>
      </c>
      <c r="K96" s="94">
        <f t="shared" si="31"/>
        <v>29</v>
      </c>
      <c r="L96" s="94" t="str">
        <f t="shared" si="32"/>
        <v>87 ปี  8 เดือน  29 วัน</v>
      </c>
      <c r="M96" s="38">
        <f t="shared" si="33"/>
        <v>800</v>
      </c>
      <c r="N96" s="39"/>
      <c r="O96" s="252"/>
      <c r="Q96" s="172"/>
      <c r="R96" s="168">
        <v>90</v>
      </c>
      <c r="S96" s="160">
        <f>COUNTIF(I81:I90,"90")</f>
        <v>0</v>
      </c>
      <c r="U96" s="1"/>
      <c r="V96" s="1"/>
      <c r="W96" s="119"/>
    </row>
    <row r="97" spans="1:23" s="57" customFormat="1" ht="27" thickBot="1">
      <c r="A97" s="20">
        <f t="shared" si="23"/>
        <v>92</v>
      </c>
      <c r="B97" s="21" t="s">
        <v>32</v>
      </c>
      <c r="C97" s="22" t="s">
        <v>1189</v>
      </c>
      <c r="D97" s="23" t="s">
        <v>1180</v>
      </c>
      <c r="E97" s="24" t="s">
        <v>617</v>
      </c>
      <c r="F97" s="25">
        <v>6</v>
      </c>
      <c r="G97" s="26">
        <v>3730600588210</v>
      </c>
      <c r="H97" s="27">
        <v>209037</v>
      </c>
      <c r="I97" s="55">
        <f t="shared" si="29"/>
        <v>87</v>
      </c>
      <c r="J97" s="94">
        <f t="shared" si="30"/>
        <v>5</v>
      </c>
      <c r="K97" s="94">
        <f t="shared" si="31"/>
        <v>4</v>
      </c>
      <c r="L97" s="94" t="str">
        <f t="shared" si="32"/>
        <v>87 ปี  5 เดือน  4 วัน</v>
      </c>
      <c r="M97" s="38">
        <f t="shared" si="33"/>
        <v>800</v>
      </c>
      <c r="N97" s="39"/>
      <c r="O97" s="252"/>
      <c r="Q97" s="172"/>
      <c r="R97" s="170" t="s">
        <v>25</v>
      </c>
      <c r="S97" s="171">
        <f>SUM(S86:S96)</f>
        <v>10</v>
      </c>
      <c r="T97" s="119"/>
      <c r="U97" s="119"/>
      <c r="V97" s="119"/>
      <c r="W97" s="119"/>
    </row>
    <row r="98" spans="1:23" s="57" customFormat="1" ht="27" thickTop="1">
      <c r="A98" s="20">
        <f t="shared" si="23"/>
        <v>93</v>
      </c>
      <c r="B98" s="21" t="s">
        <v>30</v>
      </c>
      <c r="C98" s="22" t="s">
        <v>45</v>
      </c>
      <c r="D98" s="23" t="s">
        <v>1187</v>
      </c>
      <c r="E98" s="24" t="s">
        <v>263</v>
      </c>
      <c r="F98" s="25">
        <v>6</v>
      </c>
      <c r="G98" s="26">
        <v>3730600512612</v>
      </c>
      <c r="H98" s="27">
        <v>210017</v>
      </c>
      <c r="I98" s="55">
        <f t="shared" si="29"/>
        <v>84</v>
      </c>
      <c r="J98" s="94">
        <f t="shared" si="30"/>
        <v>8</v>
      </c>
      <c r="K98" s="94">
        <f t="shared" si="31"/>
        <v>29</v>
      </c>
      <c r="L98" s="94" t="str">
        <f t="shared" si="32"/>
        <v>84 ปี  8 เดือน  29 วัน</v>
      </c>
      <c r="M98" s="38">
        <f t="shared" si="33"/>
        <v>800</v>
      </c>
      <c r="N98" s="39"/>
      <c r="O98" s="252"/>
      <c r="Q98" s="172"/>
      <c r="R98" s="96"/>
      <c r="S98" s="119"/>
      <c r="T98" s="119"/>
      <c r="U98" s="119"/>
      <c r="W98" s="101"/>
    </row>
    <row r="99" spans="1:24" ht="26.25">
      <c r="A99" s="20"/>
      <c r="B99" s="136" t="s">
        <v>30</v>
      </c>
      <c r="C99" s="137" t="s">
        <v>1190</v>
      </c>
      <c r="D99" s="138" t="s">
        <v>1191</v>
      </c>
      <c r="E99" s="139" t="s">
        <v>266</v>
      </c>
      <c r="F99" s="140">
        <v>6</v>
      </c>
      <c r="G99" s="141">
        <v>3730600588350</v>
      </c>
      <c r="H99" s="142">
        <v>209287</v>
      </c>
      <c r="I99" s="94">
        <v>0</v>
      </c>
      <c r="J99" s="94">
        <f t="shared" si="30"/>
        <v>8</v>
      </c>
      <c r="K99" s="94">
        <f t="shared" si="31"/>
        <v>29</v>
      </c>
      <c r="L99" s="94" t="str">
        <f t="shared" si="32"/>
        <v>0 ปี  8 เดือน  29 วัน</v>
      </c>
      <c r="M99" s="143">
        <v>0</v>
      </c>
      <c r="N99" s="134"/>
      <c r="O99" s="456" t="s">
        <v>1544</v>
      </c>
      <c r="P99" s="57"/>
      <c r="Q99" s="172"/>
      <c r="R99" s="111" t="s">
        <v>0</v>
      </c>
      <c r="S99" s="112" t="s">
        <v>22</v>
      </c>
      <c r="T99" s="105"/>
      <c r="U99" s="113" t="s">
        <v>1</v>
      </c>
      <c r="V99" s="113" t="s">
        <v>22</v>
      </c>
      <c r="X99" s="57"/>
    </row>
    <row r="100" spans="1:24" ht="26.25">
      <c r="A100" s="20">
        <v>94</v>
      </c>
      <c r="B100" s="21" t="s">
        <v>31</v>
      </c>
      <c r="C100" s="22" t="s">
        <v>1192</v>
      </c>
      <c r="D100" s="23" t="s">
        <v>1193</v>
      </c>
      <c r="E100" s="24" t="s">
        <v>66</v>
      </c>
      <c r="F100" s="25">
        <v>6</v>
      </c>
      <c r="G100" s="26">
        <v>3730600586853</v>
      </c>
      <c r="H100" s="27">
        <v>209652</v>
      </c>
      <c r="I100" s="55">
        <f t="shared" si="29"/>
        <v>85</v>
      </c>
      <c r="J100" s="94">
        <f t="shared" si="30"/>
        <v>8</v>
      </c>
      <c r="K100" s="94">
        <f t="shared" si="31"/>
        <v>29</v>
      </c>
      <c r="L100" s="94" t="str">
        <f t="shared" si="32"/>
        <v>85 ปี  8 เดือน  29 วัน</v>
      </c>
      <c r="M100" s="38">
        <f t="shared" si="33"/>
        <v>800</v>
      </c>
      <c r="N100" s="39"/>
      <c r="O100" s="252"/>
      <c r="P100" s="57"/>
      <c r="Q100" s="172"/>
      <c r="R100" s="114">
        <v>80</v>
      </c>
      <c r="S100" s="98">
        <f>COUNTIF(I91:I102,"80")</f>
        <v>4</v>
      </c>
      <c r="T100" s="105"/>
      <c r="U100" s="115" t="s">
        <v>2</v>
      </c>
      <c r="V100" s="352">
        <v>0</v>
      </c>
      <c r="X100" s="57"/>
    </row>
    <row r="101" spans="1:24" ht="26.25">
      <c r="A101" s="20">
        <f t="shared" si="23"/>
        <v>95</v>
      </c>
      <c r="B101" s="21" t="s">
        <v>31</v>
      </c>
      <c r="C101" s="22" t="s">
        <v>1194</v>
      </c>
      <c r="D101" s="23" t="s">
        <v>1191</v>
      </c>
      <c r="E101" s="24" t="s">
        <v>266</v>
      </c>
      <c r="F101" s="25">
        <v>6</v>
      </c>
      <c r="G101" s="26">
        <v>3730600588368</v>
      </c>
      <c r="H101" s="27">
        <v>210017</v>
      </c>
      <c r="I101" s="55">
        <f t="shared" si="29"/>
        <v>84</v>
      </c>
      <c r="J101" s="94">
        <f t="shared" si="30"/>
        <v>8</v>
      </c>
      <c r="K101" s="94">
        <f t="shared" si="31"/>
        <v>29</v>
      </c>
      <c r="L101" s="94" t="str">
        <f t="shared" si="32"/>
        <v>84 ปี  8 เดือน  29 วัน</v>
      </c>
      <c r="M101" s="38">
        <f t="shared" si="33"/>
        <v>800</v>
      </c>
      <c r="N101" s="39"/>
      <c r="O101" s="252"/>
      <c r="P101" s="57"/>
      <c r="Q101" s="96"/>
      <c r="R101" s="114">
        <v>81</v>
      </c>
      <c r="S101" s="98">
        <f>COUNTIF(I91:I102,"81")</f>
        <v>0</v>
      </c>
      <c r="T101" s="105"/>
      <c r="U101" s="115" t="s">
        <v>7</v>
      </c>
      <c r="V101" s="352">
        <v>0</v>
      </c>
      <c r="W101" s="119" t="s">
        <v>1349</v>
      </c>
      <c r="X101" s="57"/>
    </row>
    <row r="102" spans="1:24" ht="26.25">
      <c r="A102" s="20">
        <f t="shared" si="23"/>
        <v>96</v>
      </c>
      <c r="B102" s="21" t="s">
        <v>30</v>
      </c>
      <c r="C102" s="22" t="s">
        <v>1153</v>
      </c>
      <c r="D102" s="23" t="s">
        <v>616</v>
      </c>
      <c r="E102" s="24" t="s">
        <v>75</v>
      </c>
      <c r="F102" s="25">
        <v>6</v>
      </c>
      <c r="G102" s="26">
        <v>3730600588783</v>
      </c>
      <c r="H102" s="27">
        <v>210235</v>
      </c>
      <c r="I102" s="55">
        <f t="shared" si="29"/>
        <v>84</v>
      </c>
      <c r="J102" s="94">
        <f t="shared" si="30"/>
        <v>1</v>
      </c>
      <c r="K102" s="94">
        <f t="shared" si="31"/>
        <v>23</v>
      </c>
      <c r="L102" s="94" t="str">
        <f t="shared" si="32"/>
        <v>84 ปี  1 เดือน  23 วัน</v>
      </c>
      <c r="M102" s="38">
        <f t="shared" si="33"/>
        <v>800</v>
      </c>
      <c r="N102" s="39"/>
      <c r="O102" s="252"/>
      <c r="P102" s="57"/>
      <c r="Q102" s="119"/>
      <c r="R102" s="114">
        <v>82</v>
      </c>
      <c r="S102" s="98">
        <f>COUNTIF(I91:I102,"82")</f>
        <v>1</v>
      </c>
      <c r="T102" s="108"/>
      <c r="U102" s="115" t="s">
        <v>8</v>
      </c>
      <c r="V102" s="352">
        <f>SUM(S100:S110)</f>
        <v>11</v>
      </c>
      <c r="X102" s="57"/>
    </row>
    <row r="103" spans="1:24" ht="26.25">
      <c r="A103" s="200"/>
      <c r="B103" s="59"/>
      <c r="C103" s="59"/>
      <c r="D103" s="59"/>
      <c r="E103" s="60"/>
      <c r="F103" s="61"/>
      <c r="G103" s="62" t="str">
        <f>"รวมผู้สูงอายุจำนวน  "&amp;A102&amp;"  ราย   เป็นเงินทั้งสิ้น   "</f>
        <v>รวมผู้สูงอายุจำนวน  96  ราย   เป็นเงินทั้งสิ้น   </v>
      </c>
      <c r="H103" s="63"/>
      <c r="I103" s="64"/>
      <c r="J103" s="95"/>
      <c r="K103" s="95"/>
      <c r="L103" s="95"/>
      <c r="M103" s="65">
        <f>SUM(M6:M102)</f>
        <v>76800</v>
      </c>
      <c r="N103" s="66"/>
      <c r="O103" s="280"/>
      <c r="P103" s="57"/>
      <c r="Q103" s="477"/>
      <c r="R103" s="114">
        <v>83</v>
      </c>
      <c r="S103" s="98">
        <f>COUNTIF(I91:I102,"83")</f>
        <v>0</v>
      </c>
      <c r="T103" s="108"/>
      <c r="U103" s="115" t="s">
        <v>9</v>
      </c>
      <c r="V103" s="352">
        <v>0</v>
      </c>
      <c r="X103" s="57"/>
    </row>
    <row r="104" spans="1:24" ht="26.25">
      <c r="A104" s="67"/>
      <c r="B104" s="68"/>
      <c r="C104" s="68"/>
      <c r="D104" s="68"/>
      <c r="E104" s="69"/>
      <c r="F104" s="70"/>
      <c r="G104" s="71"/>
      <c r="H104" s="63"/>
      <c r="I104" s="64"/>
      <c r="J104" s="95"/>
      <c r="K104" s="95"/>
      <c r="L104" s="95"/>
      <c r="M104" s="72" t="str">
        <f>"("&amp;_xlfn.BAHTTEXT(M103)&amp;")"</f>
        <v>(เจ็ดหมื่นหกพันแปดร้อยบาทถ้วน)</v>
      </c>
      <c r="N104" s="39"/>
      <c r="O104" s="135"/>
      <c r="P104" s="57"/>
      <c r="Q104" s="119"/>
      <c r="R104" s="114">
        <v>84</v>
      </c>
      <c r="S104" s="98">
        <f>COUNTIF(I91:I102,"84")</f>
        <v>3</v>
      </c>
      <c r="T104" s="108"/>
      <c r="U104" s="113" t="s">
        <v>25</v>
      </c>
      <c r="V104" s="113">
        <f>SUM(V100:V103)</f>
        <v>11</v>
      </c>
      <c r="X104" s="57"/>
    </row>
    <row r="105" spans="14:24" ht="26.25">
      <c r="N105" s="198"/>
      <c r="O105" s="157"/>
      <c r="P105" s="57"/>
      <c r="Q105" s="119"/>
      <c r="R105" s="114">
        <v>85</v>
      </c>
      <c r="S105" s="98">
        <f>COUNTIF(I91:I102,"85")</f>
        <v>1</v>
      </c>
      <c r="X105" s="57"/>
    </row>
    <row r="106" spans="14:24" ht="26.25">
      <c r="N106" s="161"/>
      <c r="O106" s="157"/>
      <c r="Q106" s="119"/>
      <c r="R106" s="114">
        <v>86</v>
      </c>
      <c r="S106" s="98">
        <f>COUNTIF(I91:I102,"86")</f>
        <v>0</v>
      </c>
      <c r="U106" s="53"/>
      <c r="V106" s="53"/>
      <c r="X106" s="57"/>
    </row>
    <row r="107" spans="1:23" s="57" customFormat="1" ht="26.25">
      <c r="A107" s="88"/>
      <c r="B107" s="42"/>
      <c r="C107" s="42"/>
      <c r="D107" s="42"/>
      <c r="E107" s="47"/>
      <c r="F107" s="48"/>
      <c r="G107" s="49"/>
      <c r="H107" s="288"/>
      <c r="I107" s="289"/>
      <c r="J107" s="285" t="s">
        <v>1379</v>
      </c>
      <c r="K107" s="286"/>
      <c r="L107" s="287"/>
      <c r="M107" s="287"/>
      <c r="N107" s="131"/>
      <c r="O107" s="132"/>
      <c r="P107" s="42"/>
      <c r="Q107" s="119"/>
      <c r="R107" s="114">
        <v>87</v>
      </c>
      <c r="S107" s="98">
        <f>COUNTIF(I91:I102,"87")</f>
        <v>2</v>
      </c>
      <c r="T107" s="101"/>
      <c r="U107" s="53"/>
      <c r="V107" s="53"/>
      <c r="W107" s="101"/>
    </row>
    <row r="108" spans="1:23" s="57" customFormat="1" ht="24">
      <c r="A108" s="88"/>
      <c r="B108" s="42"/>
      <c r="C108" s="42"/>
      <c r="D108" s="42"/>
      <c r="E108" s="47"/>
      <c r="F108" s="48"/>
      <c r="G108" s="49"/>
      <c r="H108" s="288"/>
      <c r="I108" s="53"/>
      <c r="J108" s="285" t="s">
        <v>1380</v>
      </c>
      <c r="K108" s="286"/>
      <c r="L108" s="287"/>
      <c r="M108" s="287"/>
      <c r="N108" s="191"/>
      <c r="O108" s="194"/>
      <c r="P108" s="42"/>
      <c r="Q108" s="119"/>
      <c r="R108" s="114">
        <v>88</v>
      </c>
      <c r="S108" s="98">
        <f>COUNTIF(I91:I102,"88")</f>
        <v>0</v>
      </c>
      <c r="T108" s="101"/>
      <c r="U108" s="54"/>
      <c r="V108" s="54"/>
      <c r="W108" s="101"/>
    </row>
    <row r="109" spans="1:23" s="57" customFormat="1" ht="23.25" customHeight="1">
      <c r="A109" s="88"/>
      <c r="B109" s="42"/>
      <c r="C109" s="42"/>
      <c r="D109" s="42"/>
      <c r="E109" s="47"/>
      <c r="F109" s="48"/>
      <c r="G109" s="49"/>
      <c r="H109" s="288"/>
      <c r="I109" s="494" t="s">
        <v>1391</v>
      </c>
      <c r="J109" s="494"/>
      <c r="K109" s="494"/>
      <c r="L109" s="494"/>
      <c r="M109" s="494"/>
      <c r="N109" s="494"/>
      <c r="O109" s="494"/>
      <c r="Q109" s="119"/>
      <c r="R109" s="167">
        <v>89</v>
      </c>
      <c r="S109" s="98">
        <f>COUNTIF(I91:I102,"89")</f>
        <v>0</v>
      </c>
      <c r="T109" s="101"/>
      <c r="U109" s="1"/>
      <c r="V109" s="1"/>
      <c r="W109" s="101"/>
    </row>
    <row r="110" spans="1:24" s="57" customFormat="1" ht="26.25">
      <c r="A110" s="88"/>
      <c r="B110" s="42"/>
      <c r="C110" s="42"/>
      <c r="D110" s="42"/>
      <c r="E110" s="47"/>
      <c r="F110" s="48"/>
      <c r="G110" s="49"/>
      <c r="H110" s="288"/>
      <c r="I110" s="53"/>
      <c r="J110" s="281"/>
      <c r="K110" s="282"/>
      <c r="L110" s="283"/>
      <c r="M110" s="284"/>
      <c r="N110" s="184"/>
      <c r="O110" s="187"/>
      <c r="P110" s="42"/>
      <c r="Q110" s="119"/>
      <c r="R110" s="168">
        <v>90</v>
      </c>
      <c r="S110" s="160">
        <f>COUNTIF(I91:I102,"90")</f>
        <v>0</v>
      </c>
      <c r="T110" s="101"/>
      <c r="U110" s="1"/>
      <c r="V110" s="1"/>
      <c r="W110" s="101"/>
      <c r="X110" s="42"/>
    </row>
    <row r="111" spans="1:24" s="57" customFormat="1" ht="27" thickBot="1">
      <c r="A111" s="88"/>
      <c r="B111" s="42"/>
      <c r="C111" s="42"/>
      <c r="D111" s="42"/>
      <c r="E111" s="47"/>
      <c r="F111" s="48"/>
      <c r="G111" s="49"/>
      <c r="H111" s="50"/>
      <c r="I111" s="51"/>
      <c r="J111" s="98"/>
      <c r="K111" s="98"/>
      <c r="L111" s="98"/>
      <c r="M111" s="52"/>
      <c r="N111" s="89"/>
      <c r="O111" s="157"/>
      <c r="P111" s="42"/>
      <c r="Q111" s="119"/>
      <c r="R111" s="170" t="s">
        <v>25</v>
      </c>
      <c r="S111" s="171">
        <f>SUM(S100:S110)</f>
        <v>11</v>
      </c>
      <c r="T111" s="119"/>
      <c r="U111" s="119"/>
      <c r="V111" s="119"/>
      <c r="W111" s="101"/>
      <c r="X111" s="42"/>
    </row>
    <row r="112" spans="1:24" s="82" customFormat="1" ht="27" thickTop="1">
      <c r="A112" s="88"/>
      <c r="B112" s="42"/>
      <c r="C112" s="42"/>
      <c r="D112" s="42"/>
      <c r="E112" s="47"/>
      <c r="F112" s="48"/>
      <c r="G112" s="49"/>
      <c r="H112" s="50"/>
      <c r="I112" s="51"/>
      <c r="J112" s="98"/>
      <c r="K112" s="98"/>
      <c r="L112" s="98"/>
      <c r="M112" s="52"/>
      <c r="N112" s="89"/>
      <c r="O112" s="157"/>
      <c r="P112" s="42"/>
      <c r="Q112" s="119"/>
      <c r="R112" s="172"/>
      <c r="S112" s="96"/>
      <c r="T112" s="119"/>
      <c r="U112" s="119"/>
      <c r="V112" s="101"/>
      <c r="W112" s="101"/>
      <c r="X112" s="42"/>
    </row>
    <row r="113" spans="1:24" s="82" customFormat="1" ht="26.25">
      <c r="A113" s="88"/>
      <c r="B113" s="42"/>
      <c r="C113" s="42"/>
      <c r="D113" s="42"/>
      <c r="E113" s="47"/>
      <c r="F113" s="48"/>
      <c r="G113" s="49"/>
      <c r="H113" s="50"/>
      <c r="I113" s="51"/>
      <c r="J113" s="98"/>
      <c r="K113" s="98"/>
      <c r="L113" s="98"/>
      <c r="M113" s="52"/>
      <c r="N113" s="161"/>
      <c r="O113" s="157"/>
      <c r="P113" s="42"/>
      <c r="Q113" s="119"/>
      <c r="R113" s="172"/>
      <c r="S113" s="96"/>
      <c r="T113" s="119"/>
      <c r="U113" s="119"/>
      <c r="V113" s="101"/>
      <c r="W113" s="119"/>
      <c r="X113" s="57"/>
    </row>
    <row r="114" spans="1:24" s="57" customFormat="1" ht="26.25">
      <c r="A114" s="88"/>
      <c r="B114" s="42"/>
      <c r="C114" s="42"/>
      <c r="D114" s="42"/>
      <c r="E114" s="47"/>
      <c r="F114" s="48"/>
      <c r="G114" s="49"/>
      <c r="H114" s="50"/>
      <c r="I114" s="51"/>
      <c r="J114" s="98"/>
      <c r="K114" s="98"/>
      <c r="L114" s="98"/>
      <c r="M114" s="52"/>
      <c r="N114" s="161"/>
      <c r="O114" s="157"/>
      <c r="P114" s="42"/>
      <c r="Q114" s="119"/>
      <c r="R114" s="172"/>
      <c r="S114" s="96"/>
      <c r="T114" s="119"/>
      <c r="U114" s="119"/>
      <c r="V114" s="101"/>
      <c r="W114" s="101"/>
      <c r="X114" s="42"/>
    </row>
    <row r="115" spans="1:24" s="57" customFormat="1" ht="26.25">
      <c r="A115" s="88"/>
      <c r="B115" s="42"/>
      <c r="C115" s="42"/>
      <c r="D115" s="42"/>
      <c r="E115" s="47"/>
      <c r="F115" s="48"/>
      <c r="G115" s="49"/>
      <c r="H115" s="50"/>
      <c r="I115" s="51"/>
      <c r="J115" s="98"/>
      <c r="K115" s="98"/>
      <c r="L115" s="98"/>
      <c r="M115" s="52"/>
      <c r="N115" s="161"/>
      <c r="O115" s="157"/>
      <c r="P115" s="42"/>
      <c r="Q115" s="119"/>
      <c r="R115" s="172"/>
      <c r="S115" s="96"/>
      <c r="T115" s="119"/>
      <c r="U115" s="119"/>
      <c r="V115" s="101"/>
      <c r="W115" s="101"/>
      <c r="X115" s="42"/>
    </row>
    <row r="116" spans="1:24" s="57" customFormat="1" ht="26.25">
      <c r="A116" s="88"/>
      <c r="B116" s="42"/>
      <c r="C116" s="42"/>
      <c r="D116" s="42"/>
      <c r="E116" s="47"/>
      <c r="F116" s="48"/>
      <c r="G116" s="49"/>
      <c r="H116" s="50"/>
      <c r="I116" s="51"/>
      <c r="J116" s="98"/>
      <c r="K116" s="98"/>
      <c r="L116" s="98"/>
      <c r="M116" s="52"/>
      <c r="N116" s="161"/>
      <c r="O116" s="163"/>
      <c r="P116" s="42"/>
      <c r="Q116" s="119"/>
      <c r="R116" s="172"/>
      <c r="S116" s="96"/>
      <c r="T116" s="119"/>
      <c r="U116" s="119"/>
      <c r="V116" s="101"/>
      <c r="W116" s="101"/>
      <c r="X116" s="42"/>
    </row>
    <row r="117" spans="1:24" s="57" customFormat="1" ht="26.25">
      <c r="A117" s="88"/>
      <c r="B117" s="42"/>
      <c r="C117" s="42"/>
      <c r="D117" s="42"/>
      <c r="E117" s="47"/>
      <c r="F117" s="48"/>
      <c r="G117" s="49"/>
      <c r="H117" s="50"/>
      <c r="I117" s="51"/>
      <c r="J117" s="98"/>
      <c r="K117" s="98"/>
      <c r="L117" s="98"/>
      <c r="M117" s="52"/>
      <c r="N117" s="161"/>
      <c r="O117" s="163"/>
      <c r="P117" s="42"/>
      <c r="Q117" s="119"/>
      <c r="R117" s="172"/>
      <c r="S117" s="96"/>
      <c r="T117" s="119"/>
      <c r="U117" s="119"/>
      <c r="V117" s="101"/>
      <c r="W117" s="101"/>
      <c r="X117" s="42"/>
    </row>
    <row r="118" spans="1:24" s="57" customFormat="1" ht="26.25">
      <c r="A118" s="88"/>
      <c r="B118" s="42"/>
      <c r="C118" s="42"/>
      <c r="D118" s="42"/>
      <c r="E118" s="47"/>
      <c r="F118" s="48"/>
      <c r="G118" s="49"/>
      <c r="H118" s="50"/>
      <c r="I118" s="51"/>
      <c r="J118" s="98"/>
      <c r="K118" s="98"/>
      <c r="L118" s="98"/>
      <c r="M118" s="52"/>
      <c r="N118" s="161"/>
      <c r="O118" s="164"/>
      <c r="P118" s="42"/>
      <c r="Q118" s="119"/>
      <c r="R118" s="172"/>
      <c r="S118" s="96"/>
      <c r="T118" s="119"/>
      <c r="U118" s="119"/>
      <c r="V118" s="101"/>
      <c r="W118" s="101"/>
      <c r="X118" s="42"/>
    </row>
    <row r="119" spans="1:24" s="57" customFormat="1" ht="26.25">
      <c r="A119" s="88"/>
      <c r="B119" s="42"/>
      <c r="C119" s="42"/>
      <c r="D119" s="42"/>
      <c r="E119" s="47"/>
      <c r="F119" s="48"/>
      <c r="G119" s="49"/>
      <c r="H119" s="50"/>
      <c r="I119" s="51"/>
      <c r="J119" s="98"/>
      <c r="K119" s="98"/>
      <c r="L119" s="98"/>
      <c r="M119" s="52"/>
      <c r="N119" s="162"/>
      <c r="O119" s="153"/>
      <c r="P119" s="42"/>
      <c r="Q119" s="119"/>
      <c r="R119" s="172"/>
      <c r="S119" s="96"/>
      <c r="T119" s="119"/>
      <c r="U119" s="119"/>
      <c r="V119" s="101"/>
      <c r="W119" s="101"/>
      <c r="X119" s="42"/>
    </row>
    <row r="120" spans="1:24" s="57" customFormat="1" ht="26.25">
      <c r="A120" s="88"/>
      <c r="B120" s="42"/>
      <c r="C120" s="42"/>
      <c r="D120" s="42"/>
      <c r="E120" s="47"/>
      <c r="F120" s="48"/>
      <c r="G120" s="49"/>
      <c r="H120" s="50"/>
      <c r="I120" s="51"/>
      <c r="J120" s="98"/>
      <c r="K120" s="98"/>
      <c r="L120" s="98"/>
      <c r="M120" s="52"/>
      <c r="N120" s="73"/>
      <c r="O120" s="153"/>
      <c r="P120" s="42"/>
      <c r="Q120" s="119"/>
      <c r="T120" s="119"/>
      <c r="U120" s="119"/>
      <c r="V120" s="101"/>
      <c r="W120" s="101"/>
      <c r="X120" s="42"/>
    </row>
    <row r="121" spans="1:24" s="57" customFormat="1" ht="26.25">
      <c r="A121" s="88"/>
      <c r="B121" s="42"/>
      <c r="C121" s="42"/>
      <c r="D121" s="42"/>
      <c r="E121" s="47"/>
      <c r="F121" s="48"/>
      <c r="G121" s="49"/>
      <c r="H121" s="50"/>
      <c r="I121" s="51"/>
      <c r="J121" s="98"/>
      <c r="K121" s="98"/>
      <c r="L121" s="98"/>
      <c r="M121" s="52"/>
      <c r="N121" s="89"/>
      <c r="O121" s="165"/>
      <c r="P121" s="42"/>
      <c r="Q121" s="119"/>
      <c r="T121" s="119"/>
      <c r="U121" s="119"/>
      <c r="V121" s="101"/>
      <c r="W121" s="101"/>
      <c r="X121" s="42"/>
    </row>
    <row r="122" spans="1:24" s="57" customFormat="1" ht="26.25">
      <c r="A122" s="88"/>
      <c r="B122" s="42"/>
      <c r="C122" s="42"/>
      <c r="D122" s="42"/>
      <c r="E122" s="47"/>
      <c r="F122" s="48"/>
      <c r="G122" s="49"/>
      <c r="H122" s="50"/>
      <c r="I122" s="51"/>
      <c r="J122" s="98"/>
      <c r="K122" s="98"/>
      <c r="L122" s="98"/>
      <c r="M122" s="52"/>
      <c r="N122" s="89"/>
      <c r="O122" s="83"/>
      <c r="Q122" s="119"/>
      <c r="T122" s="119"/>
      <c r="U122" s="119"/>
      <c r="V122" s="101"/>
      <c r="W122" s="101"/>
      <c r="X122" s="42"/>
    </row>
    <row r="123" spans="1:24" s="57" customFormat="1" ht="26.25">
      <c r="A123" s="88"/>
      <c r="B123" s="42"/>
      <c r="C123" s="42"/>
      <c r="D123" s="42"/>
      <c r="E123" s="47"/>
      <c r="F123" s="48"/>
      <c r="G123" s="49"/>
      <c r="H123" s="50"/>
      <c r="I123" s="51"/>
      <c r="J123" s="98"/>
      <c r="K123" s="98"/>
      <c r="L123" s="98"/>
      <c r="M123" s="52"/>
      <c r="N123" s="89"/>
      <c r="O123" s="83"/>
      <c r="P123" s="42"/>
      <c r="Q123" s="119"/>
      <c r="T123" s="119"/>
      <c r="U123" s="119"/>
      <c r="V123" s="101"/>
      <c r="W123" s="101"/>
      <c r="X123" s="42"/>
    </row>
    <row r="124" spans="1:24" s="57" customFormat="1" ht="26.25">
      <c r="A124" s="88"/>
      <c r="B124" s="42"/>
      <c r="C124" s="42"/>
      <c r="D124" s="42"/>
      <c r="E124" s="47"/>
      <c r="F124" s="48"/>
      <c r="G124" s="49"/>
      <c r="H124" s="50"/>
      <c r="I124" s="51"/>
      <c r="J124" s="98"/>
      <c r="K124" s="98"/>
      <c r="L124" s="98"/>
      <c r="M124" s="52"/>
      <c r="N124" s="89"/>
      <c r="O124" s="90"/>
      <c r="P124" s="42"/>
      <c r="Q124" s="119"/>
      <c r="T124" s="119"/>
      <c r="U124" s="119"/>
      <c r="V124" s="101"/>
      <c r="W124" s="101"/>
      <c r="X124" s="42"/>
    </row>
    <row r="125" spans="1:24" s="57" customFormat="1" ht="26.25">
      <c r="A125" s="88"/>
      <c r="B125" s="42"/>
      <c r="C125" s="42"/>
      <c r="D125" s="42"/>
      <c r="E125" s="47"/>
      <c r="F125" s="48"/>
      <c r="G125" s="49"/>
      <c r="H125" s="50"/>
      <c r="I125" s="51"/>
      <c r="J125" s="98"/>
      <c r="K125" s="98"/>
      <c r="L125" s="98"/>
      <c r="M125" s="52"/>
      <c r="N125" s="89"/>
      <c r="O125" s="90"/>
      <c r="P125" s="42"/>
      <c r="Q125" s="119"/>
      <c r="T125" s="119"/>
      <c r="U125" s="119"/>
      <c r="V125" s="101"/>
      <c r="W125" s="101"/>
      <c r="X125" s="42"/>
    </row>
    <row r="126" spans="1:23" s="57" customFormat="1" ht="26.25">
      <c r="A126" s="88"/>
      <c r="B126" s="42"/>
      <c r="C126" s="42"/>
      <c r="D126" s="42"/>
      <c r="E126" s="47"/>
      <c r="F126" s="48"/>
      <c r="G126" s="49"/>
      <c r="H126" s="50"/>
      <c r="I126" s="51"/>
      <c r="J126" s="98"/>
      <c r="K126" s="98"/>
      <c r="L126" s="98"/>
      <c r="M126" s="52"/>
      <c r="N126" s="89"/>
      <c r="O126" s="90"/>
      <c r="P126" s="42"/>
      <c r="Q126" s="119"/>
      <c r="T126" s="119"/>
      <c r="U126" s="119"/>
      <c r="V126" s="119"/>
      <c r="W126" s="101"/>
    </row>
    <row r="127" spans="1:24" s="57" customFormat="1" ht="26.25">
      <c r="A127" s="88"/>
      <c r="B127" s="42"/>
      <c r="C127" s="42"/>
      <c r="D127" s="42"/>
      <c r="E127" s="47"/>
      <c r="F127" s="48"/>
      <c r="G127" s="49"/>
      <c r="H127" s="50"/>
      <c r="I127" s="51"/>
      <c r="J127" s="98"/>
      <c r="K127" s="98"/>
      <c r="L127" s="98"/>
      <c r="M127" s="52"/>
      <c r="N127" s="89"/>
      <c r="O127" s="90"/>
      <c r="P127" s="42"/>
      <c r="Q127" s="119"/>
      <c r="T127" s="119"/>
      <c r="U127" s="119"/>
      <c r="V127" s="101"/>
      <c r="W127" s="101"/>
      <c r="X127" s="42"/>
    </row>
    <row r="128" spans="1:24" s="57" customFormat="1" ht="26.25">
      <c r="A128" s="88"/>
      <c r="B128" s="42"/>
      <c r="C128" s="42"/>
      <c r="D128" s="42"/>
      <c r="E128" s="47"/>
      <c r="F128" s="48"/>
      <c r="G128" s="49"/>
      <c r="H128" s="50"/>
      <c r="I128" s="51"/>
      <c r="J128" s="98"/>
      <c r="K128" s="98"/>
      <c r="L128" s="98"/>
      <c r="M128" s="52"/>
      <c r="N128" s="89"/>
      <c r="O128" s="90"/>
      <c r="P128" s="42"/>
      <c r="Q128" s="119"/>
      <c r="T128" s="119"/>
      <c r="U128" s="119"/>
      <c r="V128" s="101"/>
      <c r="W128" s="101"/>
      <c r="X128" s="42"/>
    </row>
    <row r="129" spans="1:24" s="57" customFormat="1" ht="26.25">
      <c r="A129" s="88"/>
      <c r="B129" s="42"/>
      <c r="C129" s="42"/>
      <c r="D129" s="42"/>
      <c r="E129" s="47"/>
      <c r="F129" s="48"/>
      <c r="G129" s="49"/>
      <c r="H129" s="50"/>
      <c r="I129" s="51"/>
      <c r="J129" s="98"/>
      <c r="K129" s="98"/>
      <c r="L129" s="98"/>
      <c r="M129" s="52"/>
      <c r="N129" s="89"/>
      <c r="O129" s="90"/>
      <c r="P129" s="42"/>
      <c r="Q129" s="119"/>
      <c r="T129" s="119"/>
      <c r="U129" s="119"/>
      <c r="V129" s="101"/>
      <c r="W129" s="101"/>
      <c r="X129" s="42"/>
    </row>
    <row r="130" spans="17:21" ht="26.25">
      <c r="Q130" s="119"/>
      <c r="R130" s="96"/>
      <c r="S130" s="119"/>
      <c r="T130" s="119"/>
      <c r="U130" s="119"/>
    </row>
    <row r="133" spans="1:24" s="57" customFormat="1" ht="26.25">
      <c r="A133" s="88"/>
      <c r="B133" s="42"/>
      <c r="C133" s="42"/>
      <c r="D133" s="42"/>
      <c r="E133" s="47"/>
      <c r="F133" s="48"/>
      <c r="G133" s="49"/>
      <c r="H133" s="50"/>
      <c r="I133" s="51"/>
      <c r="J133" s="98"/>
      <c r="K133" s="98"/>
      <c r="L133" s="98"/>
      <c r="M133" s="52"/>
      <c r="N133" s="89"/>
      <c r="O133" s="90"/>
      <c r="P133" s="42"/>
      <c r="Q133" s="101"/>
      <c r="T133" s="101"/>
      <c r="U133" s="101"/>
      <c r="V133" s="101"/>
      <c r="W133" s="101"/>
      <c r="X133" s="42"/>
    </row>
    <row r="136" spans="17:23" ht="26.25">
      <c r="Q136" s="119"/>
      <c r="R136" s="96"/>
      <c r="S136" s="119"/>
      <c r="T136" s="119"/>
      <c r="U136" s="119"/>
      <c r="V136" s="119"/>
      <c r="W136" s="119"/>
    </row>
    <row r="137" spans="17:23" ht="26.25">
      <c r="Q137" s="119"/>
      <c r="R137" s="96"/>
      <c r="S137" s="119"/>
      <c r="T137" s="119"/>
      <c r="U137" s="119"/>
      <c r="V137" s="119"/>
      <c r="W137" s="119"/>
    </row>
    <row r="138" spans="17:23" ht="26.25">
      <c r="Q138" s="119"/>
      <c r="R138" s="96"/>
      <c r="S138" s="119"/>
      <c r="T138" s="119"/>
      <c r="U138" s="119"/>
      <c r="V138" s="119"/>
      <c r="W138" s="119"/>
    </row>
    <row r="139" spans="17:23" ht="26.25">
      <c r="Q139" s="119"/>
      <c r="R139" s="96"/>
      <c r="S139" s="119"/>
      <c r="T139" s="119"/>
      <c r="U139" s="119"/>
      <c r="V139" s="119"/>
      <c r="W139" s="119"/>
    </row>
    <row r="140" spans="16:22" ht="26.25">
      <c r="P140" s="57"/>
      <c r="R140" s="111" t="s">
        <v>0</v>
      </c>
      <c r="S140" s="112" t="s">
        <v>22</v>
      </c>
      <c r="U140" s="113" t="s">
        <v>1</v>
      </c>
      <c r="V140" s="113" t="s">
        <v>22</v>
      </c>
    </row>
    <row r="141" spans="18:24" ht="26.25">
      <c r="R141" s="114">
        <v>60</v>
      </c>
      <c r="S141" s="98">
        <f>COUNTIF(I74:I80,"60")</f>
        <v>0</v>
      </c>
      <c r="U141" s="115" t="s">
        <v>2</v>
      </c>
      <c r="V141" s="93">
        <f>SUM(S141:S150)</f>
        <v>0</v>
      </c>
      <c r="X141" s="57"/>
    </row>
    <row r="142" spans="16:24" ht="26.25">
      <c r="P142" s="57"/>
      <c r="R142" s="114">
        <v>61</v>
      </c>
      <c r="S142" s="98">
        <f>COUNTIF(I74:I80,"61")</f>
        <v>0</v>
      </c>
      <c r="U142" s="115" t="s">
        <v>7</v>
      </c>
      <c r="V142" s="93">
        <f>SUM(S151:S157)</f>
        <v>0</v>
      </c>
      <c r="X142" s="57"/>
    </row>
    <row r="143" spans="16:22" ht="26.25">
      <c r="P143" s="57"/>
      <c r="R143" s="114">
        <v>62</v>
      </c>
      <c r="S143" s="98">
        <f>COUNTIF(I74:I80,"62")</f>
        <v>0</v>
      </c>
      <c r="U143" s="115" t="s">
        <v>8</v>
      </c>
      <c r="V143" s="93" t="e">
        <f>SUM(#REF!)</f>
        <v>#REF!</v>
      </c>
    </row>
    <row r="144" spans="16:24" ht="26.25">
      <c r="P144" s="57"/>
      <c r="R144" s="114">
        <v>63</v>
      </c>
      <c r="S144" s="98">
        <f>COUNTIF(I74:I80,"63")</f>
        <v>0</v>
      </c>
      <c r="U144" s="115" t="s">
        <v>9</v>
      </c>
      <c r="V144" s="93" t="e">
        <f>SUM(#REF!)</f>
        <v>#REF!</v>
      </c>
      <c r="X144" s="57"/>
    </row>
    <row r="145" spans="16:24" ht="26.25">
      <c r="P145" s="57"/>
      <c r="R145" s="114">
        <v>64</v>
      </c>
      <c r="S145" s="98">
        <f>COUNTIF(I74:I80,"64")</f>
        <v>0</v>
      </c>
      <c r="U145" s="113" t="s">
        <v>25</v>
      </c>
      <c r="V145" s="113" t="e">
        <f>SUM(V141:V144)</f>
        <v>#REF!</v>
      </c>
      <c r="X145" s="57"/>
    </row>
    <row r="146" spans="16:24" ht="26.25">
      <c r="P146" s="57"/>
      <c r="Q146" s="119"/>
      <c r="R146" s="114">
        <v>65</v>
      </c>
      <c r="S146" s="98">
        <f>COUNTIF(I74:I80,"65")</f>
        <v>0</v>
      </c>
      <c r="V146" s="116"/>
      <c r="X146" s="57"/>
    </row>
    <row r="147" spans="16:24" ht="26.25">
      <c r="P147" s="57"/>
      <c r="R147" s="114">
        <v>66</v>
      </c>
      <c r="S147" s="98">
        <f>COUNTIF(I74:I80,"66")</f>
        <v>0</v>
      </c>
      <c r="W147" s="119"/>
      <c r="X147" s="57"/>
    </row>
    <row r="148" spans="16:24" ht="26.25">
      <c r="P148" s="57"/>
      <c r="R148" s="114">
        <v>67</v>
      </c>
      <c r="S148" s="98">
        <f>COUNTIF(I74:I80,"67")</f>
        <v>0</v>
      </c>
      <c r="X148" s="57"/>
    </row>
    <row r="149" spans="16:24" ht="26.25">
      <c r="P149" s="57"/>
      <c r="R149" s="114">
        <v>68</v>
      </c>
      <c r="S149" s="98">
        <f>COUNTIF(I74:I80,"68")</f>
        <v>0</v>
      </c>
      <c r="X149" s="57"/>
    </row>
    <row r="150" spans="16:24" ht="26.25">
      <c r="P150" s="57"/>
      <c r="R150" s="114">
        <v>69</v>
      </c>
      <c r="S150" s="98">
        <f>COUNTIF(I74:I80,"69")</f>
        <v>0</v>
      </c>
      <c r="X150" s="57"/>
    </row>
    <row r="151" spans="16:24" ht="26.25">
      <c r="P151" s="57"/>
      <c r="R151" s="117">
        <v>70</v>
      </c>
      <c r="S151" s="118">
        <f>COUNTIF(I74:I80,"70")</f>
        <v>0</v>
      </c>
      <c r="X151" s="57"/>
    </row>
    <row r="152" spans="18:24" ht="26.25">
      <c r="R152" s="114">
        <v>71</v>
      </c>
      <c r="S152" s="96">
        <f>COUNTIF(I74:I80,"71")</f>
        <v>0</v>
      </c>
      <c r="X152" s="57"/>
    </row>
    <row r="153" spans="18:24" ht="26.25">
      <c r="R153" s="114">
        <v>72</v>
      </c>
      <c r="S153" s="96">
        <f>COUNTIF(I74:I80,"72")</f>
        <v>0</v>
      </c>
      <c r="X153" s="57"/>
    </row>
    <row r="154" spans="18:24" ht="26.25">
      <c r="R154" s="114">
        <v>73</v>
      </c>
      <c r="S154" s="96">
        <f>COUNTIF(I74:I80,"73")</f>
        <v>0</v>
      </c>
      <c r="X154" s="57"/>
    </row>
    <row r="155" spans="18:19" ht="26.25">
      <c r="R155" s="114">
        <v>74</v>
      </c>
      <c r="S155" s="96">
        <f>COUNTIF(I74:I80,"74")</f>
        <v>0</v>
      </c>
    </row>
    <row r="156" spans="18:19" ht="26.25">
      <c r="R156" s="114">
        <v>75</v>
      </c>
      <c r="S156" s="96">
        <f>COUNTIF(I74:I80,"75")</f>
        <v>0</v>
      </c>
    </row>
    <row r="157" spans="18:19" ht="26.25">
      <c r="R157" s="114">
        <v>76</v>
      </c>
      <c r="S157" s="96">
        <f>COUNTIF(I74:I80,"76")</f>
        <v>0</v>
      </c>
    </row>
    <row r="158" ht="26.25">
      <c r="Q158" s="133"/>
    </row>
  </sheetData>
  <sheetProtection/>
  <mergeCells count="10">
    <mergeCell ref="I109:O109"/>
    <mergeCell ref="Q4:W4"/>
    <mergeCell ref="B5:D5"/>
    <mergeCell ref="E5:F5"/>
    <mergeCell ref="A1:O1"/>
    <mergeCell ref="Q1:W1"/>
    <mergeCell ref="A2:O2"/>
    <mergeCell ref="Q2:W2"/>
    <mergeCell ref="A3:O3"/>
    <mergeCell ref="Q3:W3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72" r:id="rId1"/>
  <headerFooter alignWithMargins="0">
    <oddFooter>&amp;L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AE189"/>
  <sheetViews>
    <sheetView view="pageBreakPreview" zoomScale="110" zoomScaleNormal="85" zoomScaleSheetLayoutView="110" workbookViewId="0" topLeftCell="G1">
      <selection activeCell="A7" sqref="A7"/>
    </sheetView>
  </sheetViews>
  <sheetFormatPr defaultColWidth="9.140625" defaultRowHeight="12.75"/>
  <cols>
    <col min="1" max="1" width="3.7109375" style="88" bestFit="1" customWidth="1"/>
    <col min="2" max="2" width="4.57421875" style="42" customWidth="1"/>
    <col min="3" max="3" width="12.57421875" style="42" customWidth="1"/>
    <col min="4" max="4" width="12.7109375" style="42" customWidth="1"/>
    <col min="5" max="5" width="5.00390625" style="47" bestFit="1" customWidth="1"/>
    <col min="6" max="6" width="4.57421875" style="48" bestFit="1" customWidth="1"/>
    <col min="7" max="7" width="21.8515625" style="49" customWidth="1"/>
    <col min="8" max="8" width="10.8515625" style="50" bestFit="1" customWidth="1"/>
    <col min="9" max="9" width="3.7109375" style="51" bestFit="1" customWidth="1"/>
    <col min="10" max="10" width="6.421875" style="98" bestFit="1" customWidth="1"/>
    <col min="11" max="11" width="4.7109375" style="98" bestFit="1" customWidth="1"/>
    <col min="12" max="12" width="17.00390625" style="98" bestFit="1" customWidth="1"/>
    <col min="13" max="13" width="12.8515625" style="52" customWidth="1"/>
    <col min="14" max="14" width="7.421875" style="89" hidden="1" customWidth="1"/>
    <col min="15" max="15" width="21.421875" style="90" bestFit="1" customWidth="1"/>
    <col min="16" max="16" width="2.7109375" style="42" customWidth="1"/>
    <col min="17" max="17" width="10.7109375" style="101" bestFit="1" customWidth="1"/>
    <col min="18" max="22" width="10.57421875" style="101" customWidth="1"/>
    <col min="23" max="23" width="13.140625" style="101" bestFit="1" customWidth="1"/>
    <col min="24" max="24" width="2.7109375" style="42" customWidth="1"/>
    <col min="25" max="16384" width="9.140625" style="42" customWidth="1"/>
  </cols>
  <sheetData>
    <row r="1" spans="1:23" s="1" customFormat="1" ht="23.25">
      <c r="A1" s="486" t="s">
        <v>1518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Q1" s="487" t="s">
        <v>1551</v>
      </c>
      <c r="R1" s="487"/>
      <c r="S1" s="487"/>
      <c r="T1" s="487"/>
      <c r="U1" s="487"/>
      <c r="V1" s="487"/>
      <c r="W1" s="487"/>
    </row>
    <row r="2" spans="1:23" s="1" customFormat="1" ht="23.25">
      <c r="A2" s="486" t="s">
        <v>1196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Q2" s="487" t="s">
        <v>1196</v>
      </c>
      <c r="R2" s="487"/>
      <c r="S2" s="487"/>
      <c r="T2" s="487"/>
      <c r="U2" s="487"/>
      <c r="V2" s="487"/>
      <c r="W2" s="487"/>
    </row>
    <row r="3" spans="1:23" s="1" customFormat="1" ht="23.25">
      <c r="A3" s="488">
        <v>241122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Q3" s="487">
        <f>A3</f>
        <v>241122</v>
      </c>
      <c r="R3" s="487"/>
      <c r="S3" s="487"/>
      <c r="T3" s="487"/>
      <c r="U3" s="487"/>
      <c r="V3" s="487"/>
      <c r="W3" s="487"/>
    </row>
    <row r="4" spans="1:23" s="4" customFormat="1" ht="8.25">
      <c r="A4" s="2"/>
      <c r="B4" s="3"/>
      <c r="F4" s="5"/>
      <c r="J4" s="91"/>
      <c r="K4" s="91"/>
      <c r="L4" s="91"/>
      <c r="M4" s="6"/>
      <c r="N4" s="6"/>
      <c r="O4" s="274"/>
      <c r="Q4" s="483" t="s">
        <v>17</v>
      </c>
      <c r="R4" s="484"/>
      <c r="S4" s="484"/>
      <c r="T4" s="484"/>
      <c r="U4" s="484"/>
      <c r="V4" s="484"/>
      <c r="W4" s="484"/>
    </row>
    <row r="5" spans="1:30" s="1" customFormat="1" ht="49.5">
      <c r="A5" s="7" t="s">
        <v>10</v>
      </c>
      <c r="B5" s="491" t="s">
        <v>11</v>
      </c>
      <c r="C5" s="492"/>
      <c r="D5" s="493"/>
      <c r="E5" s="491" t="s">
        <v>12</v>
      </c>
      <c r="F5" s="493"/>
      <c r="G5" s="8" t="s">
        <v>19</v>
      </c>
      <c r="H5" s="9" t="s">
        <v>24</v>
      </c>
      <c r="I5" s="8" t="s">
        <v>14</v>
      </c>
      <c r="J5" s="92" t="s">
        <v>13</v>
      </c>
      <c r="K5" s="92" t="s">
        <v>26</v>
      </c>
      <c r="L5" s="92" t="s">
        <v>27</v>
      </c>
      <c r="M5" s="10" t="s">
        <v>18</v>
      </c>
      <c r="N5" s="11"/>
      <c r="O5" s="12" t="s">
        <v>20</v>
      </c>
      <c r="P5" s="13"/>
      <c r="Q5" s="14" t="s">
        <v>21</v>
      </c>
      <c r="R5" s="15" t="s">
        <v>5</v>
      </c>
      <c r="S5" s="16" t="s">
        <v>3</v>
      </c>
      <c r="T5" s="15" t="s">
        <v>4</v>
      </c>
      <c r="U5" s="15" t="s">
        <v>6</v>
      </c>
      <c r="V5" s="17" t="s">
        <v>15</v>
      </c>
      <c r="W5" s="18" t="s">
        <v>16</v>
      </c>
      <c r="X5" s="479"/>
      <c r="Z5" s="111" t="s">
        <v>0</v>
      </c>
      <c r="AA5" s="112" t="s">
        <v>22</v>
      </c>
      <c r="AB5" s="105"/>
      <c r="AC5" s="113" t="s">
        <v>1</v>
      </c>
      <c r="AD5" s="113" t="s">
        <v>22</v>
      </c>
    </row>
    <row r="6" spans="1:30" s="1" customFormat="1" ht="26.25">
      <c r="A6" s="335">
        <v>1</v>
      </c>
      <c r="B6" s="21" t="s">
        <v>31</v>
      </c>
      <c r="C6" s="123" t="s">
        <v>225</v>
      </c>
      <c r="D6" s="124" t="s">
        <v>1308</v>
      </c>
      <c r="E6" s="24" t="s">
        <v>1309</v>
      </c>
      <c r="F6" s="25" t="s">
        <v>1199</v>
      </c>
      <c r="G6" s="26" t="s">
        <v>1310</v>
      </c>
      <c r="H6" s="27">
        <v>208069</v>
      </c>
      <c r="I6" s="93">
        <f aca="true" t="shared" si="0" ref="I6:I22">DATEDIF(H6,$S$21,"Y")</f>
        <v>90</v>
      </c>
      <c r="J6" s="93">
        <f aca="true" t="shared" si="1" ref="J6:J22">DATEDIF(H6,$S$21,"YM")</f>
        <v>0</v>
      </c>
      <c r="K6" s="93">
        <f aca="true" t="shared" si="2" ref="K6:K22">DATEDIF(H6,$S$21,"MD")</f>
        <v>29</v>
      </c>
      <c r="L6" s="93" t="str">
        <f aca="true" t="shared" si="3" ref="L6:L22">I6&amp;" ปี  "&amp;J6&amp;" เดือน  "&amp;K6&amp;" วัน"</f>
        <v>90 ปี  0 เดือน  29 วัน</v>
      </c>
      <c r="M6" s="38">
        <f>IF(I6&lt;=69,600,IF(I6&lt;=79,700,IF(I6&lt;=89,800,IF(I6&gt;=90,1000))))</f>
        <v>1000</v>
      </c>
      <c r="N6" s="39"/>
      <c r="O6" s="251" t="s">
        <v>1202</v>
      </c>
      <c r="P6" s="13"/>
      <c r="Q6" s="478">
        <v>1</v>
      </c>
      <c r="R6" s="33">
        <f>V24</f>
        <v>0</v>
      </c>
      <c r="S6" s="34">
        <v>0</v>
      </c>
      <c r="T6" s="33">
        <f>V25</f>
        <v>0</v>
      </c>
      <c r="U6" s="33">
        <f>V26</f>
        <v>6</v>
      </c>
      <c r="V6" s="33">
        <f>V27</f>
        <v>6</v>
      </c>
      <c r="W6" s="37">
        <f aca="true" t="shared" si="4" ref="W6:W11">(R6*600)+(S6*700)+(T6*800)+(U6*1000)</f>
        <v>6000</v>
      </c>
      <c r="X6" s="19"/>
      <c r="Z6" s="167"/>
      <c r="AA6" s="96"/>
      <c r="AB6" s="105"/>
      <c r="AC6" s="113"/>
      <c r="AD6" s="113"/>
    </row>
    <row r="7" spans="1:30" s="1" customFormat="1" ht="23.25">
      <c r="A7" s="200">
        <v>2</v>
      </c>
      <c r="B7" s="21" t="s">
        <v>31</v>
      </c>
      <c r="C7" s="123" t="s">
        <v>998</v>
      </c>
      <c r="D7" s="124" t="s">
        <v>1019</v>
      </c>
      <c r="E7" s="24" t="s">
        <v>62</v>
      </c>
      <c r="F7" s="25">
        <v>1</v>
      </c>
      <c r="G7" s="26">
        <v>3730600575878</v>
      </c>
      <c r="H7" s="27">
        <v>207464</v>
      </c>
      <c r="I7" s="93">
        <f t="shared" si="0"/>
        <v>91</v>
      </c>
      <c r="J7" s="93">
        <f t="shared" si="1"/>
        <v>8</v>
      </c>
      <c r="K7" s="93">
        <f t="shared" si="2"/>
        <v>25</v>
      </c>
      <c r="L7" s="93" t="str">
        <f t="shared" si="3"/>
        <v>91 ปี  8 เดือน  25 วัน</v>
      </c>
      <c r="M7" s="29">
        <f>IF(I7&lt;=69,600,IF(I7&lt;=79,700,IF(I7&lt;=89,800,IF(I7&gt;=90,1000))))</f>
        <v>1000</v>
      </c>
      <c r="N7" s="199"/>
      <c r="O7" s="275"/>
      <c r="P7" s="31"/>
      <c r="Q7" s="36">
        <v>2</v>
      </c>
      <c r="R7" s="33">
        <v>0</v>
      </c>
      <c r="S7" s="34">
        <v>0</v>
      </c>
      <c r="T7" s="33">
        <v>0</v>
      </c>
      <c r="U7" s="34">
        <f>V42</f>
        <v>3</v>
      </c>
      <c r="V7" s="33">
        <f>V43</f>
        <v>3</v>
      </c>
      <c r="W7" s="37">
        <f t="shared" si="4"/>
        <v>3000</v>
      </c>
      <c r="Z7" s="114">
        <v>90</v>
      </c>
      <c r="AA7" s="98">
        <f>COUNTIF(I8:I12,"90")</f>
        <v>0</v>
      </c>
      <c r="AB7" s="105"/>
      <c r="AC7" s="115" t="s">
        <v>2</v>
      </c>
      <c r="AD7" s="93">
        <v>0</v>
      </c>
    </row>
    <row r="8" spans="1:30" s="1" customFormat="1" ht="26.25">
      <c r="A8" s="335">
        <v>3</v>
      </c>
      <c r="B8" s="21" t="s">
        <v>31</v>
      </c>
      <c r="C8" s="123" t="s">
        <v>685</v>
      </c>
      <c r="D8" s="124" t="s">
        <v>285</v>
      </c>
      <c r="E8" s="24" t="s">
        <v>286</v>
      </c>
      <c r="F8" s="25">
        <v>1</v>
      </c>
      <c r="G8" s="26">
        <v>3730600577404</v>
      </c>
      <c r="H8" s="27">
        <v>206365</v>
      </c>
      <c r="I8" s="28">
        <f t="shared" si="0"/>
        <v>94</v>
      </c>
      <c r="J8" s="93">
        <f t="shared" si="1"/>
        <v>8</v>
      </c>
      <c r="K8" s="93">
        <f t="shared" si="2"/>
        <v>29</v>
      </c>
      <c r="L8" s="93" t="str">
        <f t="shared" si="3"/>
        <v>94 ปี  8 เดือน  29 วัน</v>
      </c>
      <c r="M8" s="29">
        <f aca="true" t="shared" si="5" ref="M8:M18">IF(I8&lt;=69,600,IF(I8&lt;=79,700,IF(I8&lt;=89,800,IF(I8&gt;=90,1000))))</f>
        <v>1000</v>
      </c>
      <c r="N8" s="273"/>
      <c r="O8" s="276"/>
      <c r="P8" s="31"/>
      <c r="Q8" s="36">
        <v>3</v>
      </c>
      <c r="R8" s="33">
        <f>V128</f>
        <v>0</v>
      </c>
      <c r="S8" s="33">
        <f>V129</f>
        <v>0</v>
      </c>
      <c r="T8" s="33">
        <f>V130</f>
        <v>0</v>
      </c>
      <c r="U8" s="33">
        <f>V56</f>
        <v>3</v>
      </c>
      <c r="V8" s="33">
        <f>V57</f>
        <v>3</v>
      </c>
      <c r="W8" s="37">
        <f t="shared" si="4"/>
        <v>3000</v>
      </c>
      <c r="Z8" s="114">
        <v>91</v>
      </c>
      <c r="AA8" s="98">
        <f>COUNTIF(I8:I12,"91")</f>
        <v>0</v>
      </c>
      <c r="AB8" s="105"/>
      <c r="AC8" s="115" t="s">
        <v>7</v>
      </c>
      <c r="AD8" s="93">
        <v>0</v>
      </c>
    </row>
    <row r="9" spans="1:30" s="1" customFormat="1" ht="26.25">
      <c r="A9" s="200">
        <v>4</v>
      </c>
      <c r="B9" s="21" t="s">
        <v>31</v>
      </c>
      <c r="C9" s="123" t="s">
        <v>1036</v>
      </c>
      <c r="D9" s="124" t="s">
        <v>319</v>
      </c>
      <c r="E9" s="24" t="s">
        <v>124</v>
      </c>
      <c r="F9" s="25">
        <v>1</v>
      </c>
      <c r="G9" s="26">
        <v>3730600580171</v>
      </c>
      <c r="H9" s="27">
        <v>206730</v>
      </c>
      <c r="I9" s="28">
        <f t="shared" si="0"/>
        <v>93</v>
      </c>
      <c r="J9" s="93">
        <f t="shared" si="1"/>
        <v>8</v>
      </c>
      <c r="K9" s="93">
        <f t="shared" si="2"/>
        <v>29</v>
      </c>
      <c r="L9" s="93" t="str">
        <f t="shared" si="3"/>
        <v>93 ปี  8 เดือน  29 วัน</v>
      </c>
      <c r="M9" s="38">
        <f t="shared" si="5"/>
        <v>1000</v>
      </c>
      <c r="N9" s="30"/>
      <c r="O9" s="277"/>
      <c r="P9" s="31"/>
      <c r="Q9" s="36">
        <v>4</v>
      </c>
      <c r="R9" s="33">
        <f>$V172</f>
        <v>0</v>
      </c>
      <c r="S9" s="33">
        <f>$V173</f>
        <v>0</v>
      </c>
      <c r="T9" s="33">
        <f>$V174</f>
        <v>0</v>
      </c>
      <c r="U9" s="33">
        <v>0</v>
      </c>
      <c r="V9" s="33">
        <f>V44</f>
        <v>0</v>
      </c>
      <c r="W9" s="37">
        <f t="shared" si="4"/>
        <v>0</v>
      </c>
      <c r="Z9" s="114">
        <v>92</v>
      </c>
      <c r="AA9" s="98">
        <f>COUNTIF(I8:I12,"92")</f>
        <v>0</v>
      </c>
      <c r="AB9" s="108"/>
      <c r="AC9" s="115" t="s">
        <v>8</v>
      </c>
      <c r="AD9" s="93">
        <v>0</v>
      </c>
    </row>
    <row r="10" spans="1:30" s="1" customFormat="1" ht="26.25">
      <c r="A10" s="335">
        <v>5</v>
      </c>
      <c r="B10" s="21" t="s">
        <v>30</v>
      </c>
      <c r="C10" s="121" t="s">
        <v>1037</v>
      </c>
      <c r="D10" s="122" t="s">
        <v>287</v>
      </c>
      <c r="E10" s="24" t="s">
        <v>113</v>
      </c>
      <c r="F10" s="25">
        <v>1</v>
      </c>
      <c r="G10" s="26">
        <v>3730600579369</v>
      </c>
      <c r="H10" s="27">
        <v>205695</v>
      </c>
      <c r="I10" s="28">
        <f t="shared" si="0"/>
        <v>96</v>
      </c>
      <c r="J10" s="93">
        <f t="shared" si="1"/>
        <v>6</v>
      </c>
      <c r="K10" s="93">
        <f t="shared" si="2"/>
        <v>27</v>
      </c>
      <c r="L10" s="93" t="str">
        <f t="shared" si="3"/>
        <v>96 ปี  6 เดือน  27 วัน</v>
      </c>
      <c r="M10" s="38">
        <f t="shared" si="5"/>
        <v>1000</v>
      </c>
      <c r="N10" s="39"/>
      <c r="O10" s="278" t="s">
        <v>1198</v>
      </c>
      <c r="P10" s="31"/>
      <c r="Q10" s="36">
        <v>5</v>
      </c>
      <c r="R10" s="33">
        <v>0</v>
      </c>
      <c r="S10" s="33">
        <v>0</v>
      </c>
      <c r="T10" s="33">
        <v>0</v>
      </c>
      <c r="U10" s="33">
        <f>V69</f>
        <v>3</v>
      </c>
      <c r="V10" s="33">
        <f>V70</f>
        <v>3</v>
      </c>
      <c r="W10" s="37">
        <f t="shared" si="4"/>
        <v>3000</v>
      </c>
      <c r="Z10" s="114">
        <v>93</v>
      </c>
      <c r="AA10" s="98">
        <f>COUNTIF(I8:I12,"93")</f>
        <v>1</v>
      </c>
      <c r="AB10" s="108"/>
      <c r="AC10" s="115" t="s">
        <v>9</v>
      </c>
      <c r="AD10" s="93">
        <f>SUM(AA7:AA16)</f>
        <v>4</v>
      </c>
    </row>
    <row r="11" spans="1:30" s="1" customFormat="1" ht="26.25">
      <c r="A11" s="200">
        <v>6</v>
      </c>
      <c r="B11" s="21" t="s">
        <v>31</v>
      </c>
      <c r="C11" s="123" t="s">
        <v>1038</v>
      </c>
      <c r="D11" s="124" t="s">
        <v>1039</v>
      </c>
      <c r="E11" s="24" t="s">
        <v>362</v>
      </c>
      <c r="F11" s="25">
        <v>1</v>
      </c>
      <c r="G11" s="26">
        <v>3101401193351</v>
      </c>
      <c r="H11" s="27">
        <v>205269</v>
      </c>
      <c r="I11" s="28">
        <f t="shared" si="0"/>
        <v>97</v>
      </c>
      <c r="J11" s="93">
        <f t="shared" si="1"/>
        <v>8</v>
      </c>
      <c r="K11" s="93">
        <f t="shared" si="2"/>
        <v>29</v>
      </c>
      <c r="L11" s="93" t="str">
        <f t="shared" si="3"/>
        <v>97 ปี  8 เดือน  29 วัน</v>
      </c>
      <c r="M11" s="38">
        <f t="shared" si="5"/>
        <v>1000</v>
      </c>
      <c r="N11" s="39"/>
      <c r="O11" s="278"/>
      <c r="P11" s="31"/>
      <c r="Q11" s="36">
        <v>6</v>
      </c>
      <c r="R11" s="33">
        <v>0</v>
      </c>
      <c r="S11" s="34">
        <v>0</v>
      </c>
      <c r="T11" s="33">
        <v>0</v>
      </c>
      <c r="U11" s="33">
        <f>$V83</f>
        <v>1</v>
      </c>
      <c r="V11" s="33">
        <f>$V84</f>
        <v>1</v>
      </c>
      <c r="W11" s="37">
        <f t="shared" si="4"/>
        <v>1000</v>
      </c>
      <c r="Z11" s="114">
        <v>94</v>
      </c>
      <c r="AA11" s="98">
        <f>COUNTIF(I8:I12,"94")</f>
        <v>1</v>
      </c>
      <c r="AB11" s="108"/>
      <c r="AC11" s="113" t="s">
        <v>25</v>
      </c>
      <c r="AD11" s="113">
        <f>SUM(AD7:AD10)</f>
        <v>4</v>
      </c>
    </row>
    <row r="12" spans="1:30" s="1" customFormat="1" ht="26.25">
      <c r="A12" s="335"/>
      <c r="B12" s="136" t="s">
        <v>30</v>
      </c>
      <c r="C12" s="154" t="s">
        <v>817</v>
      </c>
      <c r="D12" s="155" t="s">
        <v>285</v>
      </c>
      <c r="E12" s="139" t="s">
        <v>267</v>
      </c>
      <c r="F12" s="140">
        <v>1</v>
      </c>
      <c r="G12" s="141">
        <v>3730600580685</v>
      </c>
      <c r="H12" s="142">
        <v>206730</v>
      </c>
      <c r="I12" s="93">
        <v>0</v>
      </c>
      <c r="J12" s="93">
        <f t="shared" si="1"/>
        <v>8</v>
      </c>
      <c r="K12" s="93">
        <f t="shared" si="2"/>
        <v>29</v>
      </c>
      <c r="L12" s="93" t="str">
        <f t="shared" si="3"/>
        <v>0 ปี  8 เดือน  29 วัน</v>
      </c>
      <c r="M12" s="143">
        <v>0</v>
      </c>
      <c r="N12" s="134"/>
      <c r="O12" s="455" t="s">
        <v>1543</v>
      </c>
      <c r="P12" s="31"/>
      <c r="Q12" s="36"/>
      <c r="R12" s="33"/>
      <c r="S12" s="34"/>
      <c r="T12" s="33"/>
      <c r="U12" s="33"/>
      <c r="V12" s="33"/>
      <c r="W12" s="37"/>
      <c r="Z12" s="114">
        <v>95</v>
      </c>
      <c r="AA12" s="98">
        <f>COUNTIF(I8:I12,"95")</f>
        <v>0</v>
      </c>
      <c r="AB12" s="101"/>
      <c r="AC12" s="101"/>
      <c r="AD12" s="101"/>
    </row>
    <row r="13" spans="1:30" s="1" customFormat="1" ht="26.25">
      <c r="A13" s="200">
        <v>7</v>
      </c>
      <c r="B13" s="21" t="s">
        <v>31</v>
      </c>
      <c r="C13" s="121" t="s">
        <v>1076</v>
      </c>
      <c r="D13" s="122" t="s">
        <v>1077</v>
      </c>
      <c r="E13" s="24" t="s">
        <v>97</v>
      </c>
      <c r="F13" s="25">
        <v>2</v>
      </c>
      <c r="G13" s="26">
        <v>3730600581801</v>
      </c>
      <c r="H13" s="27">
        <v>208035</v>
      </c>
      <c r="I13" s="28">
        <f t="shared" si="0"/>
        <v>90</v>
      </c>
      <c r="J13" s="93">
        <f t="shared" si="1"/>
        <v>2</v>
      </c>
      <c r="K13" s="93">
        <f t="shared" si="2"/>
        <v>1</v>
      </c>
      <c r="L13" s="93" t="str">
        <f t="shared" si="3"/>
        <v>90 ปี  2 เดือน  1 วัน</v>
      </c>
      <c r="M13" s="38">
        <f>IF(I13&lt;=69,600,IF(I13&lt;=79,700,IF(I13&lt;=89,800,IF(I13&gt;=90,1000))))</f>
        <v>1000</v>
      </c>
      <c r="N13" s="39"/>
      <c r="O13" s="278"/>
      <c r="P13" s="31"/>
      <c r="Q13" s="36"/>
      <c r="R13" s="33"/>
      <c r="S13" s="34"/>
      <c r="T13" s="33"/>
      <c r="U13" s="33"/>
      <c r="V13" s="33"/>
      <c r="W13" s="37"/>
      <c r="Z13" s="114">
        <v>96</v>
      </c>
      <c r="AA13" s="98">
        <f>COUNTIF(I8:I12,"96")</f>
        <v>1</v>
      </c>
      <c r="AB13" s="101"/>
      <c r="AC13" s="101"/>
      <c r="AD13" s="101"/>
    </row>
    <row r="14" spans="1:30" s="1" customFormat="1" ht="26.25">
      <c r="A14" s="335">
        <v>8</v>
      </c>
      <c r="B14" s="238" t="s">
        <v>31</v>
      </c>
      <c r="C14" s="353" t="s">
        <v>1081</v>
      </c>
      <c r="D14" s="354" t="s">
        <v>666</v>
      </c>
      <c r="E14" s="355" t="s">
        <v>463</v>
      </c>
      <c r="F14" s="241">
        <v>2</v>
      </c>
      <c r="G14" s="236">
        <v>3730600598835</v>
      </c>
      <c r="H14" s="350">
        <v>207826</v>
      </c>
      <c r="I14" s="237">
        <f t="shared" si="0"/>
        <v>90</v>
      </c>
      <c r="J14" s="242">
        <f t="shared" si="1"/>
        <v>8</v>
      </c>
      <c r="K14" s="242">
        <f t="shared" si="2"/>
        <v>29</v>
      </c>
      <c r="L14" s="242" t="str">
        <f t="shared" si="3"/>
        <v>90 ปี  8 เดือน  29 วัน</v>
      </c>
      <c r="M14" s="356">
        <f>IF(I14&lt;=69,600,IF(I14&lt;=79,700,IF(I14&lt;=89,800,IF(I14&gt;=90,1000))))</f>
        <v>1000</v>
      </c>
      <c r="N14" s="357"/>
      <c r="O14" s="453" t="s">
        <v>1540</v>
      </c>
      <c r="P14" s="31"/>
      <c r="Q14" s="36"/>
      <c r="R14" s="33"/>
      <c r="S14" s="34"/>
      <c r="T14" s="33"/>
      <c r="U14" s="33"/>
      <c r="V14" s="33"/>
      <c r="W14" s="37"/>
      <c r="Z14" s="114"/>
      <c r="AA14" s="98"/>
      <c r="AB14" s="101"/>
      <c r="AC14" s="101"/>
      <c r="AD14" s="101"/>
    </row>
    <row r="15" spans="1:30" s="1" customFormat="1" ht="26.25">
      <c r="A15" s="200">
        <v>9</v>
      </c>
      <c r="B15" s="21" t="s">
        <v>31</v>
      </c>
      <c r="C15" s="121" t="s">
        <v>1083</v>
      </c>
      <c r="D15" s="122" t="s">
        <v>681</v>
      </c>
      <c r="E15" s="24" t="s">
        <v>410</v>
      </c>
      <c r="F15" s="25">
        <v>2</v>
      </c>
      <c r="G15" s="26">
        <v>3730600583641</v>
      </c>
      <c r="H15" s="27">
        <v>205634</v>
      </c>
      <c r="I15" s="28">
        <f t="shared" si="0"/>
        <v>96</v>
      </c>
      <c r="J15" s="93">
        <f t="shared" si="1"/>
        <v>8</v>
      </c>
      <c r="K15" s="93">
        <f t="shared" si="2"/>
        <v>29</v>
      </c>
      <c r="L15" s="93" t="str">
        <f t="shared" si="3"/>
        <v>96 ปี  8 เดือน  29 วัน</v>
      </c>
      <c r="M15" s="29">
        <f t="shared" si="5"/>
        <v>1000</v>
      </c>
      <c r="N15" s="39"/>
      <c r="O15" s="278"/>
      <c r="P15" s="31"/>
      <c r="Q15" s="36"/>
      <c r="R15" s="33"/>
      <c r="S15" s="34"/>
      <c r="T15" s="33"/>
      <c r="U15" s="33"/>
      <c r="V15" s="33"/>
      <c r="W15" s="37" t="s">
        <v>1198</v>
      </c>
      <c r="Z15" s="114"/>
      <c r="AA15" s="98"/>
      <c r="AB15" s="101"/>
      <c r="AC15" s="101"/>
      <c r="AD15" s="101"/>
    </row>
    <row r="16" spans="1:30" s="1" customFormat="1" ht="26.25">
      <c r="A16" s="335">
        <v>10</v>
      </c>
      <c r="B16" s="21" t="s">
        <v>31</v>
      </c>
      <c r="C16" s="22" t="s">
        <v>56</v>
      </c>
      <c r="D16" s="23" t="s">
        <v>729</v>
      </c>
      <c r="E16" s="24" t="s">
        <v>103</v>
      </c>
      <c r="F16" s="25">
        <v>3</v>
      </c>
      <c r="G16" s="26">
        <v>3730600591652</v>
      </c>
      <c r="H16" s="27">
        <v>207826</v>
      </c>
      <c r="I16" s="28">
        <f t="shared" si="0"/>
        <v>90</v>
      </c>
      <c r="J16" s="93">
        <f t="shared" si="1"/>
        <v>8</v>
      </c>
      <c r="K16" s="93">
        <f t="shared" si="2"/>
        <v>29</v>
      </c>
      <c r="L16" s="93" t="str">
        <f t="shared" si="3"/>
        <v>90 ปี  8 เดือน  29 วัน</v>
      </c>
      <c r="M16" s="38">
        <f>IF(I16&lt;=69,600,IF(I16&lt;=79,700,IF(I16&lt;=89,800,IF(I16&gt;=90,1000))))</f>
        <v>1000</v>
      </c>
      <c r="N16" s="30"/>
      <c r="O16" s="296"/>
      <c r="P16" s="31"/>
      <c r="Q16" s="36"/>
      <c r="R16" s="33"/>
      <c r="S16" s="34"/>
      <c r="T16" s="33"/>
      <c r="U16" s="33"/>
      <c r="V16" s="33"/>
      <c r="W16" s="37"/>
      <c r="Z16" s="114">
        <v>97</v>
      </c>
      <c r="AA16" s="98">
        <f>COUNTIF(I8:I12,"97")</f>
        <v>1</v>
      </c>
      <c r="AB16" s="101"/>
      <c r="AC16" s="53"/>
      <c r="AD16" s="53"/>
    </row>
    <row r="17" spans="1:30" s="1" customFormat="1" ht="26.25">
      <c r="A17" s="200">
        <v>11</v>
      </c>
      <c r="B17" s="21" t="s">
        <v>30</v>
      </c>
      <c r="C17" s="22" t="s">
        <v>1114</v>
      </c>
      <c r="D17" s="23" t="s">
        <v>1112</v>
      </c>
      <c r="E17" s="24" t="s">
        <v>1113</v>
      </c>
      <c r="F17" s="25">
        <v>3</v>
      </c>
      <c r="G17" s="26">
        <v>3730600127000</v>
      </c>
      <c r="H17" s="27">
        <v>207826</v>
      </c>
      <c r="I17" s="28">
        <f t="shared" si="0"/>
        <v>90</v>
      </c>
      <c r="J17" s="93">
        <f t="shared" si="1"/>
        <v>8</v>
      </c>
      <c r="K17" s="93">
        <f t="shared" si="2"/>
        <v>29</v>
      </c>
      <c r="L17" s="93" t="str">
        <f t="shared" si="3"/>
        <v>90 ปี  8 เดือน  29 วัน</v>
      </c>
      <c r="M17" s="38">
        <f>IF(I17&lt;=69,600,IF(I17&lt;=79,700,IF(I17&lt;=89,800,IF(I17&gt;=90,1000))))</f>
        <v>1000</v>
      </c>
      <c r="N17" s="30"/>
      <c r="O17" s="296"/>
      <c r="P17" s="31"/>
      <c r="Q17" s="36"/>
      <c r="R17" s="33"/>
      <c r="S17" s="34"/>
      <c r="T17" s="33"/>
      <c r="U17" s="33"/>
      <c r="V17" s="33"/>
      <c r="W17" s="37"/>
      <c r="Z17" s="172"/>
      <c r="AA17" s="98"/>
      <c r="AB17" s="101"/>
      <c r="AC17" s="53"/>
      <c r="AD17" s="53"/>
    </row>
    <row r="18" spans="1:30" s="1" customFormat="1" ht="26.25">
      <c r="A18" s="335">
        <v>12</v>
      </c>
      <c r="B18" s="21" t="s">
        <v>31</v>
      </c>
      <c r="C18" s="22" t="s">
        <v>1119</v>
      </c>
      <c r="D18" s="23" t="s">
        <v>1120</v>
      </c>
      <c r="E18" s="24" t="s">
        <v>109</v>
      </c>
      <c r="F18" s="25">
        <v>3</v>
      </c>
      <c r="G18" s="26">
        <v>3730600593370</v>
      </c>
      <c r="H18" s="27">
        <v>205634</v>
      </c>
      <c r="I18" s="28">
        <f t="shared" si="0"/>
        <v>96</v>
      </c>
      <c r="J18" s="93">
        <f t="shared" si="1"/>
        <v>8</v>
      </c>
      <c r="K18" s="93">
        <f t="shared" si="2"/>
        <v>29</v>
      </c>
      <c r="L18" s="93" t="str">
        <f t="shared" si="3"/>
        <v>96 ปี  8 เดือน  29 วัน</v>
      </c>
      <c r="M18" s="38">
        <f t="shared" si="5"/>
        <v>1000</v>
      </c>
      <c r="N18" s="30"/>
      <c r="O18" s="279"/>
      <c r="P18" s="31"/>
      <c r="Q18" s="40"/>
      <c r="R18" s="33"/>
      <c r="S18" s="33"/>
      <c r="T18" s="33"/>
      <c r="U18" s="33"/>
      <c r="V18" s="33"/>
      <c r="W18" s="41"/>
      <c r="Z18" s="172"/>
      <c r="AA18" s="98"/>
      <c r="AB18" s="101"/>
      <c r="AC18" s="53"/>
      <c r="AD18" s="53"/>
    </row>
    <row r="19" spans="1:24" ht="27" thickBot="1">
      <c r="A19" s="200">
        <v>13</v>
      </c>
      <c r="B19" s="21" t="s">
        <v>31</v>
      </c>
      <c r="C19" s="22" t="s">
        <v>50</v>
      </c>
      <c r="D19" s="23" t="s">
        <v>471</v>
      </c>
      <c r="E19" s="24" t="s">
        <v>95</v>
      </c>
      <c r="F19" s="25">
        <v>5</v>
      </c>
      <c r="G19" s="26">
        <v>5730690000779</v>
      </c>
      <c r="H19" s="27">
        <v>207540</v>
      </c>
      <c r="I19" s="94">
        <f t="shared" si="0"/>
        <v>91</v>
      </c>
      <c r="J19" s="93">
        <f t="shared" si="1"/>
        <v>6</v>
      </c>
      <c r="K19" s="93">
        <f t="shared" si="2"/>
        <v>9</v>
      </c>
      <c r="L19" s="93" t="str">
        <f t="shared" si="3"/>
        <v>91 ปี  6 เดือน  9 วัน</v>
      </c>
      <c r="M19" s="38">
        <f>IF(I19&lt;=69,600,IF(I19&lt;=79,700,IF(I19&lt;=89,800,IF(I19&gt;=90,1000))))</f>
        <v>1000</v>
      </c>
      <c r="N19" s="39"/>
      <c r="O19" s="278"/>
      <c r="P19" s="31"/>
      <c r="Q19" s="43" t="s">
        <v>23</v>
      </c>
      <c r="R19" s="44">
        <f aca="true" t="shared" si="6" ref="R19:W19">SUM(R6:R18)</f>
        <v>0</v>
      </c>
      <c r="S19" s="44">
        <f t="shared" si="6"/>
        <v>0</v>
      </c>
      <c r="T19" s="44">
        <f t="shared" si="6"/>
        <v>0</v>
      </c>
      <c r="U19" s="44">
        <f t="shared" si="6"/>
        <v>16</v>
      </c>
      <c r="V19" s="44">
        <f t="shared" si="6"/>
        <v>16</v>
      </c>
      <c r="W19" s="45">
        <f t="shared" si="6"/>
        <v>16000</v>
      </c>
      <c r="X19" s="1"/>
    </row>
    <row r="20" spans="1:24" ht="27" thickTop="1">
      <c r="A20" s="335">
        <v>14</v>
      </c>
      <c r="B20" s="21" t="s">
        <v>31</v>
      </c>
      <c r="C20" s="22" t="s">
        <v>1177</v>
      </c>
      <c r="D20" s="23" t="s">
        <v>1178</v>
      </c>
      <c r="E20" s="24" t="s">
        <v>102</v>
      </c>
      <c r="F20" s="25">
        <v>5</v>
      </c>
      <c r="G20" s="26">
        <v>3730600597871</v>
      </c>
      <c r="H20" s="27">
        <v>207095</v>
      </c>
      <c r="I20" s="28">
        <f t="shared" si="0"/>
        <v>92</v>
      </c>
      <c r="J20" s="93">
        <f t="shared" si="1"/>
        <v>8</v>
      </c>
      <c r="K20" s="93">
        <f t="shared" si="2"/>
        <v>29</v>
      </c>
      <c r="L20" s="93" t="str">
        <f t="shared" si="3"/>
        <v>92 ปี  8 เดือน  29 วัน</v>
      </c>
      <c r="M20" s="38">
        <f>IF(I20&lt;=69,600,IF(I20&lt;=79,700,IF(I20&lt;=89,800,IF(I20&gt;=90,1000))))</f>
        <v>1000</v>
      </c>
      <c r="N20" s="39"/>
      <c r="O20" s="278"/>
      <c r="P20" s="13"/>
      <c r="X20" s="19"/>
    </row>
    <row r="21" spans="1:24" ht="26.25">
      <c r="A21" s="200">
        <v>15</v>
      </c>
      <c r="B21" s="21" t="s">
        <v>32</v>
      </c>
      <c r="C21" s="22" t="s">
        <v>167</v>
      </c>
      <c r="D21" s="23" t="s">
        <v>806</v>
      </c>
      <c r="E21" s="24" t="s">
        <v>104</v>
      </c>
      <c r="F21" s="25" t="s">
        <v>1179</v>
      </c>
      <c r="G21" s="26">
        <v>3730600598126</v>
      </c>
      <c r="H21" s="27">
        <v>206763</v>
      </c>
      <c r="I21" s="28">
        <f t="shared" si="0"/>
        <v>93</v>
      </c>
      <c r="J21" s="93">
        <f t="shared" si="1"/>
        <v>7</v>
      </c>
      <c r="K21" s="93">
        <f t="shared" si="2"/>
        <v>27</v>
      </c>
      <c r="L21" s="93" t="str">
        <f t="shared" si="3"/>
        <v>93 ปี  7 เดือน  27 วัน</v>
      </c>
      <c r="M21" s="38">
        <f>IF(I21&lt;=69,600,IF(I21&lt;=79,700,IF(I21&lt;=89,800,IF(I21&gt;=90,1000))))</f>
        <v>1000</v>
      </c>
      <c r="N21" s="177"/>
      <c r="O21" s="275"/>
      <c r="Q21" s="100" t="s">
        <v>28</v>
      </c>
      <c r="S21" s="99">
        <v>240969</v>
      </c>
      <c r="T21" s="102"/>
      <c r="U21" s="102"/>
      <c r="V21" s="102"/>
      <c r="W21" s="103"/>
      <c r="X21" s="46"/>
    </row>
    <row r="22" spans="1:24" ht="26.25">
      <c r="A22" s="335">
        <v>16</v>
      </c>
      <c r="B22" s="21" t="s">
        <v>30</v>
      </c>
      <c r="C22" s="22" t="s">
        <v>38</v>
      </c>
      <c r="D22" s="23" t="s">
        <v>1195</v>
      </c>
      <c r="E22" s="24" t="s">
        <v>67</v>
      </c>
      <c r="F22" s="25">
        <v>6</v>
      </c>
      <c r="G22" s="26">
        <v>3730600584311</v>
      </c>
      <c r="H22" s="27">
        <v>205779</v>
      </c>
      <c r="I22" s="28">
        <f t="shared" si="0"/>
        <v>96</v>
      </c>
      <c r="J22" s="93">
        <f t="shared" si="1"/>
        <v>4</v>
      </c>
      <c r="K22" s="93">
        <f t="shared" si="2"/>
        <v>4</v>
      </c>
      <c r="L22" s="93" t="str">
        <f t="shared" si="3"/>
        <v>96 ปี  4 เดือน  4 วัน</v>
      </c>
      <c r="M22" s="38">
        <f>IF(I22&lt;=69,600,IF(I22&lt;=79,700,IF(I22&lt;=89,800,IF(I22&gt;=90,1000))))</f>
        <v>1000</v>
      </c>
      <c r="N22" s="39"/>
      <c r="O22" s="278"/>
      <c r="Q22" s="100"/>
      <c r="S22" s="99"/>
      <c r="T22" s="102"/>
      <c r="U22" s="102"/>
      <c r="V22" s="102"/>
      <c r="W22" s="103"/>
      <c r="X22" s="46"/>
    </row>
    <row r="23" spans="1:31" ht="26.25">
      <c r="A23" s="200"/>
      <c r="B23" s="59"/>
      <c r="C23" s="59"/>
      <c r="D23" s="59"/>
      <c r="E23" s="60"/>
      <c r="F23" s="61"/>
      <c r="G23" s="62" t="str">
        <f>"รวมผู้สูงอายุจำนวน  "&amp;A22&amp;"  ราย   เป็นเงินทั้งสิ้น   "</f>
        <v>รวมผู้สูงอายุจำนวน  16  ราย   เป็นเงินทั้งสิ้น   </v>
      </c>
      <c r="H23" s="63"/>
      <c r="I23" s="64"/>
      <c r="J23" s="95"/>
      <c r="K23" s="95"/>
      <c r="L23" s="95"/>
      <c r="M23" s="65">
        <f>SUM(M6:M22)</f>
        <v>16000</v>
      </c>
      <c r="N23" s="66"/>
      <c r="O23" s="280"/>
      <c r="Q23" s="104"/>
      <c r="R23" s="111" t="s">
        <v>0</v>
      </c>
      <c r="S23" s="112" t="s">
        <v>22</v>
      </c>
      <c r="T23" s="105"/>
      <c r="U23" s="113" t="s">
        <v>1</v>
      </c>
      <c r="V23" s="113" t="s">
        <v>22</v>
      </c>
      <c r="W23" s="106"/>
      <c r="X23" s="51"/>
      <c r="Y23" s="51"/>
      <c r="Z23" s="51"/>
      <c r="AA23" s="51"/>
      <c r="AB23" s="52"/>
      <c r="AC23" s="52"/>
      <c r="AD23" s="52"/>
      <c r="AE23" s="51"/>
    </row>
    <row r="24" spans="1:31" ht="26.25">
      <c r="A24" s="20"/>
      <c r="B24" s="68"/>
      <c r="C24" s="68"/>
      <c r="D24" s="68"/>
      <c r="E24" s="69"/>
      <c r="F24" s="70"/>
      <c r="G24" s="71"/>
      <c r="H24" s="63"/>
      <c r="I24" s="64"/>
      <c r="J24" s="95"/>
      <c r="K24" s="95"/>
      <c r="L24" s="95"/>
      <c r="M24" s="72" t="str">
        <f>"("&amp;_xlfn.BAHTTEXT(M23)&amp;")"</f>
        <v>(หนึ่งหมื่นหกพันบาทถ้วน)</v>
      </c>
      <c r="N24" s="73"/>
      <c r="O24" s="74"/>
      <c r="R24" s="114">
        <v>90</v>
      </c>
      <c r="S24" s="98">
        <f>COUNTIF(I6:I12,"90")</f>
        <v>1</v>
      </c>
      <c r="T24" s="105"/>
      <c r="U24" s="115" t="s">
        <v>2</v>
      </c>
      <c r="V24" s="93">
        <v>0</v>
      </c>
      <c r="W24" s="106"/>
      <c r="X24" s="51"/>
      <c r="Y24" s="51"/>
      <c r="Z24" s="51"/>
      <c r="AA24" s="51"/>
      <c r="AB24" s="52"/>
      <c r="AC24" s="52"/>
      <c r="AD24" s="52"/>
      <c r="AE24" s="51"/>
    </row>
    <row r="25" spans="1:23" ht="26.25">
      <c r="A25" s="321"/>
      <c r="B25" s="319"/>
      <c r="C25" s="319"/>
      <c r="D25" s="319"/>
      <c r="E25" s="322"/>
      <c r="F25" s="323"/>
      <c r="G25" s="324"/>
      <c r="H25" s="325"/>
      <c r="I25" s="326"/>
      <c r="J25" s="118"/>
      <c r="K25" s="118"/>
      <c r="L25" s="118"/>
      <c r="M25" s="327"/>
      <c r="N25" s="328"/>
      <c r="O25" s="329"/>
      <c r="Q25" s="107"/>
      <c r="R25" s="167">
        <v>91</v>
      </c>
      <c r="S25" s="98">
        <f>COUNTIF(I6:I12,"90")</f>
        <v>1</v>
      </c>
      <c r="T25" s="108"/>
      <c r="U25" s="115" t="s">
        <v>8</v>
      </c>
      <c r="V25" s="93">
        <v>0</v>
      </c>
      <c r="W25" s="109" t="s">
        <v>1199</v>
      </c>
    </row>
    <row r="26" spans="1:23" ht="26.25">
      <c r="A26" s="75"/>
      <c r="B26" s="57"/>
      <c r="C26" s="57"/>
      <c r="D26" s="57"/>
      <c r="E26" s="76"/>
      <c r="F26" s="159"/>
      <c r="G26" s="77"/>
      <c r="H26" s="58"/>
      <c r="I26" s="56"/>
      <c r="J26" s="96"/>
      <c r="K26" s="96"/>
      <c r="L26" s="96"/>
      <c r="M26" s="78"/>
      <c r="N26" s="79"/>
      <c r="O26" s="83"/>
      <c r="Q26" s="110"/>
      <c r="R26" s="114">
        <v>92</v>
      </c>
      <c r="S26" s="98">
        <f>COUNTIF(I6:I12,"92")</f>
        <v>0</v>
      </c>
      <c r="T26" s="108"/>
      <c r="U26" s="115" t="s">
        <v>9</v>
      </c>
      <c r="V26" s="93">
        <f>SUM(S24:S34)</f>
        <v>6</v>
      </c>
      <c r="W26" s="109"/>
    </row>
    <row r="27" spans="1:23" ht="26.25">
      <c r="A27" s="75"/>
      <c r="B27" s="57"/>
      <c r="C27" s="57"/>
      <c r="D27" s="57"/>
      <c r="E27" s="76"/>
      <c r="F27" s="159"/>
      <c r="G27" s="77"/>
      <c r="H27" s="289"/>
      <c r="I27" s="285" t="s">
        <v>1379</v>
      </c>
      <c r="J27" s="286"/>
      <c r="K27" s="287"/>
      <c r="L27" s="287"/>
      <c r="M27" s="131"/>
      <c r="N27" s="132"/>
      <c r="O27" s="132"/>
      <c r="Q27" s="110"/>
      <c r="R27" s="114">
        <v>93</v>
      </c>
      <c r="S27" s="98">
        <f>COUNTIF(I6:I12,"93")</f>
        <v>1</v>
      </c>
      <c r="T27" s="108"/>
      <c r="U27" s="113" t="s">
        <v>25</v>
      </c>
      <c r="V27" s="113">
        <f>SUM(V24:V26)</f>
        <v>6</v>
      </c>
      <c r="W27" s="109"/>
    </row>
    <row r="28" spans="1:19" ht="24">
      <c r="A28" s="126"/>
      <c r="B28" s="127"/>
      <c r="C28" s="127"/>
      <c r="D28" s="127"/>
      <c r="E28" s="128"/>
      <c r="F28" s="129"/>
      <c r="G28" s="130"/>
      <c r="H28" s="53"/>
      <c r="I28" s="285" t="s">
        <v>1380</v>
      </c>
      <c r="J28" s="286"/>
      <c r="K28" s="287"/>
      <c r="L28" s="287"/>
      <c r="M28" s="191"/>
      <c r="N28" s="194"/>
      <c r="O28" s="194"/>
      <c r="R28" s="114">
        <v>94</v>
      </c>
      <c r="S28" s="98">
        <f>COUNTIF(I6:I12,"94")</f>
        <v>1</v>
      </c>
    </row>
    <row r="29" spans="1:19" ht="24">
      <c r="A29" s="126"/>
      <c r="B29" s="127"/>
      <c r="C29" s="127"/>
      <c r="D29" s="127"/>
      <c r="E29" s="128"/>
      <c r="F29" s="129"/>
      <c r="G29" s="130"/>
      <c r="H29" s="494" t="s">
        <v>1392</v>
      </c>
      <c r="I29" s="494"/>
      <c r="J29" s="494"/>
      <c r="K29" s="494"/>
      <c r="L29" s="494"/>
      <c r="M29" s="494"/>
      <c r="N29" s="494"/>
      <c r="O29" s="494"/>
      <c r="R29" s="114">
        <v>95</v>
      </c>
      <c r="S29" s="98">
        <f>COUNTIF(I6:I12,"95")</f>
        <v>0</v>
      </c>
    </row>
    <row r="30" spans="1:24" s="53" customFormat="1" ht="23.25">
      <c r="A30" s="188"/>
      <c r="B30" s="495"/>
      <c r="C30" s="495"/>
      <c r="D30" s="495"/>
      <c r="E30" s="495"/>
      <c r="F30" s="495"/>
      <c r="G30" s="189"/>
      <c r="P30" s="42"/>
      <c r="Q30" s="101"/>
      <c r="R30" s="114">
        <v>96</v>
      </c>
      <c r="S30" s="98">
        <f>COUNTIF(I6:I12,"96")</f>
        <v>1</v>
      </c>
      <c r="T30" s="101"/>
      <c r="W30" s="101"/>
      <c r="X30" s="42"/>
    </row>
    <row r="31" spans="1:23" s="53" customFormat="1" ht="23.25">
      <c r="A31" s="233"/>
      <c r="B31" s="233"/>
      <c r="C31" s="233"/>
      <c r="D31" s="233"/>
      <c r="E31" s="233"/>
      <c r="F31" s="233"/>
      <c r="G31" s="233"/>
      <c r="Q31" s="101"/>
      <c r="R31" s="114">
        <v>97</v>
      </c>
      <c r="S31" s="98">
        <f>COUNTIF(I6:I12,"97")</f>
        <v>1</v>
      </c>
      <c r="T31" s="101"/>
      <c r="W31" s="101"/>
    </row>
    <row r="32" spans="1:24" s="54" customFormat="1" ht="26.25">
      <c r="A32" s="75"/>
      <c r="B32" s="178"/>
      <c r="C32" s="178"/>
      <c r="D32" s="178"/>
      <c r="E32" s="179"/>
      <c r="F32" s="180"/>
      <c r="G32" s="195"/>
      <c r="H32" s="53"/>
      <c r="I32" s="281"/>
      <c r="J32" s="282"/>
      <c r="K32" s="283"/>
      <c r="L32" s="284"/>
      <c r="M32" s="184"/>
      <c r="N32" s="187"/>
      <c r="O32" s="187"/>
      <c r="P32" s="53"/>
      <c r="Q32" s="101"/>
      <c r="R32" s="114">
        <v>98</v>
      </c>
      <c r="S32" s="98">
        <f>COUNTIF(I6:I12,"98")</f>
        <v>0</v>
      </c>
      <c r="T32" s="101"/>
      <c r="W32" s="101"/>
      <c r="X32" s="53"/>
    </row>
    <row r="33" spans="1:24" s="1" customFormat="1" ht="26.25">
      <c r="A33" s="75"/>
      <c r="B33" s="178"/>
      <c r="C33" s="178"/>
      <c r="D33" s="178"/>
      <c r="E33" s="179"/>
      <c r="F33" s="180"/>
      <c r="G33" s="181"/>
      <c r="H33" s="182"/>
      <c r="I33" s="183"/>
      <c r="J33" s="184"/>
      <c r="K33" s="184"/>
      <c r="L33" s="184"/>
      <c r="M33" s="185"/>
      <c r="N33" s="186"/>
      <c r="O33" s="187"/>
      <c r="P33" s="54"/>
      <c r="Q33" s="101"/>
      <c r="R33" s="114">
        <v>99</v>
      </c>
      <c r="S33" s="98">
        <f>COUNTIF(I6:I12,"99")</f>
        <v>0</v>
      </c>
      <c r="T33" s="101"/>
      <c r="W33" s="101"/>
      <c r="X33" s="54"/>
    </row>
    <row r="34" spans="1:24" s="57" customFormat="1" ht="26.25">
      <c r="A34" s="214"/>
      <c r="B34" s="215"/>
      <c r="C34" s="215"/>
      <c r="D34" s="215"/>
      <c r="E34" s="216"/>
      <c r="F34" s="217"/>
      <c r="G34" s="218"/>
      <c r="H34" s="219"/>
      <c r="I34" s="220"/>
      <c r="J34" s="221"/>
      <c r="K34" s="221"/>
      <c r="L34" s="221"/>
      <c r="M34" s="222"/>
      <c r="N34" s="223"/>
      <c r="O34" s="165"/>
      <c r="P34" s="80"/>
      <c r="Q34" s="119"/>
      <c r="R34" s="114">
        <v>100</v>
      </c>
      <c r="S34" s="98">
        <f>COUNTIF(I6:I12,"100")</f>
        <v>0</v>
      </c>
      <c r="T34" s="119"/>
      <c r="U34" s="119"/>
      <c r="V34" s="119"/>
      <c r="W34" s="119"/>
      <c r="X34" s="80"/>
    </row>
    <row r="35" spans="1:24" s="57" customFormat="1" ht="27" thickBot="1">
      <c r="A35" s="214"/>
      <c r="B35" s="215"/>
      <c r="C35" s="215"/>
      <c r="D35" s="215"/>
      <c r="E35" s="216"/>
      <c r="F35" s="217"/>
      <c r="G35" s="218"/>
      <c r="H35" s="219"/>
      <c r="I35" s="220"/>
      <c r="J35" s="221"/>
      <c r="K35" s="221"/>
      <c r="L35" s="221"/>
      <c r="M35" s="222"/>
      <c r="N35" s="223"/>
      <c r="O35" s="165"/>
      <c r="P35" s="80"/>
      <c r="Q35" s="119"/>
      <c r="R35" s="173" t="s">
        <v>25</v>
      </c>
      <c r="S35" s="174">
        <f>SUM(S24:S34)</f>
        <v>6</v>
      </c>
      <c r="T35" s="119"/>
      <c r="U35" s="119"/>
      <c r="V35" s="119"/>
      <c r="W35" s="119"/>
      <c r="X35" s="80"/>
    </row>
    <row r="36" spans="1:24" s="57" customFormat="1" ht="27" thickTop="1">
      <c r="A36" s="214"/>
      <c r="B36" s="215"/>
      <c r="C36" s="215"/>
      <c r="D36" s="215"/>
      <c r="E36" s="216"/>
      <c r="F36" s="217"/>
      <c r="G36" s="218"/>
      <c r="H36" s="219"/>
      <c r="I36" s="220"/>
      <c r="J36" s="221"/>
      <c r="K36" s="221"/>
      <c r="L36" s="221"/>
      <c r="M36" s="222"/>
      <c r="N36" s="223"/>
      <c r="O36" s="165"/>
      <c r="P36" s="80"/>
      <c r="Q36" s="119"/>
      <c r="X36" s="80"/>
    </row>
    <row r="37" spans="1:24" s="57" customFormat="1" ht="26.25">
      <c r="A37" s="214"/>
      <c r="B37" s="215"/>
      <c r="C37" s="215"/>
      <c r="D37" s="215"/>
      <c r="E37" s="216"/>
      <c r="F37" s="217"/>
      <c r="G37" s="218"/>
      <c r="H37" s="219"/>
      <c r="I37" s="220"/>
      <c r="J37" s="221"/>
      <c r="K37" s="221"/>
      <c r="L37" s="221"/>
      <c r="M37" s="222"/>
      <c r="N37" s="223"/>
      <c r="O37" s="165"/>
      <c r="P37" s="80"/>
      <c r="Q37" s="119"/>
      <c r="X37" s="80"/>
    </row>
    <row r="38" spans="1:24" s="57" customFormat="1" ht="26.25">
      <c r="A38" s="214"/>
      <c r="B38" s="215"/>
      <c r="C38" s="215"/>
      <c r="D38" s="215"/>
      <c r="E38" s="216"/>
      <c r="F38" s="217"/>
      <c r="G38" s="218"/>
      <c r="H38" s="219"/>
      <c r="I38" s="220"/>
      <c r="J38" s="221"/>
      <c r="K38" s="221"/>
      <c r="L38" s="221"/>
      <c r="M38" s="222"/>
      <c r="N38" s="223"/>
      <c r="O38" s="165"/>
      <c r="P38" s="80"/>
      <c r="Q38" s="119"/>
      <c r="R38" s="111" t="s">
        <v>0</v>
      </c>
      <c r="S38" s="112" t="s">
        <v>22</v>
      </c>
      <c r="X38" s="80"/>
    </row>
    <row r="39" spans="1:24" s="57" customFormat="1" ht="26.25">
      <c r="A39" s="214"/>
      <c r="B39" s="215"/>
      <c r="C39" s="215"/>
      <c r="D39" s="215"/>
      <c r="E39" s="216"/>
      <c r="F39" s="217"/>
      <c r="G39" s="218"/>
      <c r="H39" s="219"/>
      <c r="I39" s="220"/>
      <c r="J39" s="221"/>
      <c r="K39" s="221"/>
      <c r="L39" s="221"/>
      <c r="M39" s="222"/>
      <c r="N39" s="223"/>
      <c r="O39" s="165"/>
      <c r="P39" s="80"/>
      <c r="Q39" s="119"/>
      <c r="R39" s="114">
        <v>90</v>
      </c>
      <c r="S39" s="98">
        <f>COUNTIF(I13:I15,"90")</f>
        <v>2</v>
      </c>
      <c r="T39" s="105"/>
      <c r="U39" s="113" t="s">
        <v>1</v>
      </c>
      <c r="V39" s="113" t="s">
        <v>22</v>
      </c>
      <c r="W39" s="119"/>
      <c r="X39" s="80"/>
    </row>
    <row r="40" spans="1:24" s="57" customFormat="1" ht="26.25">
      <c r="A40" s="214"/>
      <c r="B40" s="215"/>
      <c r="C40" s="215"/>
      <c r="D40" s="215"/>
      <c r="E40" s="216"/>
      <c r="F40" s="217"/>
      <c r="G40" s="218"/>
      <c r="H40" s="219"/>
      <c r="I40" s="220"/>
      <c r="J40" s="221"/>
      <c r="K40" s="221"/>
      <c r="L40" s="221"/>
      <c r="M40" s="222"/>
      <c r="N40" s="223"/>
      <c r="O40" s="165"/>
      <c r="P40" s="80"/>
      <c r="Q40" s="119"/>
      <c r="R40" s="167">
        <v>91</v>
      </c>
      <c r="S40" s="98">
        <f>COUNTIF(I13:I15,"91")</f>
        <v>0</v>
      </c>
      <c r="T40" s="105"/>
      <c r="U40" s="115" t="s">
        <v>2</v>
      </c>
      <c r="V40" s="352">
        <v>0</v>
      </c>
      <c r="W40" s="119" t="s">
        <v>684</v>
      </c>
      <c r="X40" s="80"/>
    </row>
    <row r="41" spans="1:24" s="57" customFormat="1" ht="26.25">
      <c r="A41" s="214"/>
      <c r="B41" s="496"/>
      <c r="C41" s="496"/>
      <c r="D41" s="496"/>
      <c r="E41" s="496"/>
      <c r="F41" s="496"/>
      <c r="G41" s="227"/>
      <c r="H41" s="228"/>
      <c r="I41" s="227"/>
      <c r="J41" s="229"/>
      <c r="K41" s="229"/>
      <c r="L41" s="229"/>
      <c r="M41" s="230"/>
      <c r="N41" s="231"/>
      <c r="O41" s="232"/>
      <c r="P41" s="80"/>
      <c r="Q41" s="119"/>
      <c r="R41" s="114">
        <v>92</v>
      </c>
      <c r="S41" s="98">
        <f>COUNTIF(I13:I15,"92")</f>
        <v>0</v>
      </c>
      <c r="T41" s="108"/>
      <c r="U41" s="115" t="s">
        <v>8</v>
      </c>
      <c r="V41" s="352">
        <v>0</v>
      </c>
      <c r="W41" s="119"/>
      <c r="X41" s="80"/>
    </row>
    <row r="42" spans="1:24" s="57" customFormat="1" ht="21">
      <c r="A42" s="215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20"/>
      <c r="P42" s="80"/>
      <c r="Q42" s="119"/>
      <c r="R42" s="114">
        <v>93</v>
      </c>
      <c r="S42" s="98">
        <f>COUNTIF(I13:I15,"93")</f>
        <v>0</v>
      </c>
      <c r="T42" s="108"/>
      <c r="U42" s="115" t="s">
        <v>9</v>
      </c>
      <c r="V42" s="352">
        <f>SUM(S39:S49)</f>
        <v>3</v>
      </c>
      <c r="W42" s="119"/>
      <c r="X42" s="80"/>
    </row>
    <row r="43" spans="1:24" s="57" customFormat="1" ht="21">
      <c r="A43" s="215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20"/>
      <c r="P43" s="80"/>
      <c r="Q43" s="119"/>
      <c r="R43" s="114">
        <v>94</v>
      </c>
      <c r="S43" s="98">
        <f>COUNTIF(I13:I15,"94")</f>
        <v>0</v>
      </c>
      <c r="T43" s="108"/>
      <c r="U43" s="113" t="s">
        <v>25</v>
      </c>
      <c r="V43" s="113">
        <f>SUM(V40:V42)</f>
        <v>3</v>
      </c>
      <c r="W43" s="119"/>
      <c r="X43" s="80"/>
    </row>
    <row r="44" spans="1:24" s="57" customFormat="1" ht="21">
      <c r="A44" s="215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0"/>
      <c r="P44" s="80"/>
      <c r="Q44" s="119"/>
      <c r="R44" s="114">
        <v>95</v>
      </c>
      <c r="S44" s="98">
        <f>COUNTIF(I13:I15,"95")</f>
        <v>0</v>
      </c>
      <c r="T44" s="101"/>
      <c r="U44" s="101"/>
      <c r="V44" s="101"/>
      <c r="W44" s="119"/>
      <c r="X44" s="80"/>
    </row>
    <row r="45" spans="1:24" s="57" customFormat="1" ht="26.25">
      <c r="A45" s="214"/>
      <c r="B45" s="144"/>
      <c r="C45" s="144"/>
      <c r="D45" s="144"/>
      <c r="E45" s="145"/>
      <c r="F45" s="146"/>
      <c r="G45" s="224"/>
      <c r="H45" s="148"/>
      <c r="I45" s="149"/>
      <c r="J45" s="150"/>
      <c r="K45" s="150"/>
      <c r="L45" s="150"/>
      <c r="M45" s="225"/>
      <c r="N45" s="226"/>
      <c r="O45" s="153"/>
      <c r="P45" s="80"/>
      <c r="Q45" s="119"/>
      <c r="R45" s="114">
        <v>96</v>
      </c>
      <c r="S45" s="98">
        <f>COUNTIF(I13:I15,"96")</f>
        <v>1</v>
      </c>
      <c r="T45" s="101"/>
      <c r="U45" s="101"/>
      <c r="V45" s="101"/>
      <c r="W45" s="119"/>
      <c r="X45" s="80"/>
    </row>
    <row r="46" spans="1:24" s="57" customFormat="1" ht="26.25">
      <c r="A46" s="214"/>
      <c r="B46" s="144"/>
      <c r="C46" s="144"/>
      <c r="D46" s="144"/>
      <c r="E46" s="145"/>
      <c r="F46" s="146"/>
      <c r="G46" s="147"/>
      <c r="H46" s="148"/>
      <c r="I46" s="149"/>
      <c r="J46" s="150"/>
      <c r="K46" s="150"/>
      <c r="L46" s="150"/>
      <c r="M46" s="151"/>
      <c r="N46" s="152"/>
      <c r="O46" s="153"/>
      <c r="P46" s="80"/>
      <c r="Q46" s="119"/>
      <c r="R46" s="114">
        <v>97</v>
      </c>
      <c r="S46" s="98">
        <f>COUNTIF(I13:I15,"97")</f>
        <v>0</v>
      </c>
      <c r="T46" s="101"/>
      <c r="U46" s="53"/>
      <c r="V46" s="53"/>
      <c r="W46" s="119"/>
      <c r="X46" s="80"/>
    </row>
    <row r="47" spans="1:24" s="57" customFormat="1" ht="26.25">
      <c r="A47" s="214"/>
      <c r="B47" s="215"/>
      <c r="C47" s="215"/>
      <c r="D47" s="215"/>
      <c r="E47" s="216"/>
      <c r="F47" s="217"/>
      <c r="G47" s="218"/>
      <c r="H47" s="219"/>
      <c r="I47" s="220"/>
      <c r="J47" s="221"/>
      <c r="K47" s="221"/>
      <c r="L47" s="221"/>
      <c r="M47" s="222"/>
      <c r="N47" s="223"/>
      <c r="O47" s="165"/>
      <c r="P47" s="80"/>
      <c r="Q47" s="119"/>
      <c r="R47" s="114">
        <v>98</v>
      </c>
      <c r="S47" s="98">
        <f>COUNTIF(I13:I15,"98")</f>
        <v>0</v>
      </c>
      <c r="T47" s="101"/>
      <c r="U47" s="53"/>
      <c r="V47" s="53"/>
      <c r="W47" s="119"/>
      <c r="X47" s="80"/>
    </row>
    <row r="48" spans="1:24" s="57" customFormat="1" ht="26.25">
      <c r="A48" s="75"/>
      <c r="E48" s="76"/>
      <c r="F48" s="159"/>
      <c r="G48" s="77"/>
      <c r="H48" s="58"/>
      <c r="I48" s="56"/>
      <c r="J48" s="96"/>
      <c r="K48" s="96"/>
      <c r="L48" s="96"/>
      <c r="M48" s="78"/>
      <c r="N48" s="79"/>
      <c r="O48" s="83"/>
      <c r="P48" s="80"/>
      <c r="Q48" s="119"/>
      <c r="R48" s="114">
        <v>99</v>
      </c>
      <c r="S48" s="98">
        <f>COUNTIF(I13:I15,"99")</f>
        <v>0</v>
      </c>
      <c r="T48" s="101"/>
      <c r="U48" s="54"/>
      <c r="V48" s="54"/>
      <c r="W48" s="119"/>
      <c r="X48" s="80"/>
    </row>
    <row r="49" spans="1:24" s="57" customFormat="1" ht="26.25">
      <c r="A49" s="75"/>
      <c r="E49" s="76"/>
      <c r="F49" s="159"/>
      <c r="G49" s="77"/>
      <c r="H49" s="58"/>
      <c r="I49" s="56"/>
      <c r="J49" s="96"/>
      <c r="K49" s="96"/>
      <c r="L49" s="96"/>
      <c r="M49" s="78"/>
      <c r="N49" s="79"/>
      <c r="O49" s="83"/>
      <c r="P49" s="80"/>
      <c r="Q49" s="119"/>
      <c r="R49" s="114">
        <v>100</v>
      </c>
      <c r="S49" s="98">
        <f>COUNTIF(I13:I15,"100")</f>
        <v>0</v>
      </c>
      <c r="T49" s="101"/>
      <c r="U49" s="1"/>
      <c r="V49" s="1"/>
      <c r="W49" s="119"/>
      <c r="X49" s="80"/>
    </row>
    <row r="50" spans="1:24" s="57" customFormat="1" ht="27" thickBot="1">
      <c r="A50" s="75"/>
      <c r="E50" s="76"/>
      <c r="F50" s="159"/>
      <c r="G50" s="77"/>
      <c r="H50" s="58"/>
      <c r="I50" s="56"/>
      <c r="J50" s="96"/>
      <c r="K50" s="96"/>
      <c r="L50" s="96"/>
      <c r="M50" s="78"/>
      <c r="N50" s="79"/>
      <c r="O50" s="83"/>
      <c r="P50" s="80"/>
      <c r="Q50" s="119"/>
      <c r="R50" s="173" t="s">
        <v>25</v>
      </c>
      <c r="S50" s="174">
        <f>SUM(S39:S49)</f>
        <v>3</v>
      </c>
      <c r="T50" s="119"/>
      <c r="U50" s="119"/>
      <c r="V50" s="119"/>
      <c r="W50" s="119"/>
      <c r="X50" s="80"/>
    </row>
    <row r="51" spans="1:24" s="57" customFormat="1" ht="27" thickTop="1">
      <c r="A51" s="75"/>
      <c r="B51" s="495"/>
      <c r="C51" s="495"/>
      <c r="D51" s="495"/>
      <c r="E51" s="495"/>
      <c r="F51" s="495"/>
      <c r="G51" s="189"/>
      <c r="H51" s="190"/>
      <c r="I51" s="189"/>
      <c r="J51" s="191"/>
      <c r="K51" s="191"/>
      <c r="L51" s="191"/>
      <c r="M51" s="192"/>
      <c r="N51" s="193"/>
      <c r="O51" s="194"/>
      <c r="P51" s="80"/>
      <c r="Q51" s="119"/>
      <c r="R51" s="96"/>
      <c r="S51" s="96"/>
      <c r="T51" s="119"/>
      <c r="U51" s="119"/>
      <c r="V51" s="119"/>
      <c r="W51" s="119"/>
      <c r="X51" s="80"/>
    </row>
    <row r="52" spans="15:24" s="57" customFormat="1" ht="21">
      <c r="O52" s="56"/>
      <c r="P52" s="80"/>
      <c r="Q52" s="119"/>
      <c r="R52" s="111" t="s">
        <v>0</v>
      </c>
      <c r="S52" s="112" t="s">
        <v>22</v>
      </c>
      <c r="X52" s="80"/>
    </row>
    <row r="53" spans="15:24" s="57" customFormat="1" ht="21">
      <c r="O53" s="56"/>
      <c r="P53" s="80"/>
      <c r="Q53" s="119"/>
      <c r="R53" s="114">
        <v>90</v>
      </c>
      <c r="S53" s="98">
        <f>COUNTIF(I16:I18,"90")</f>
        <v>2</v>
      </c>
      <c r="T53" s="105"/>
      <c r="U53" s="113" t="s">
        <v>1</v>
      </c>
      <c r="V53" s="113" t="s">
        <v>22</v>
      </c>
      <c r="W53" s="119"/>
      <c r="X53" s="80"/>
    </row>
    <row r="54" spans="1:24" s="57" customFormat="1" ht="26.25">
      <c r="A54" s="75"/>
      <c r="B54" s="178"/>
      <c r="C54" s="178"/>
      <c r="D54" s="178"/>
      <c r="E54" s="179"/>
      <c r="F54" s="180"/>
      <c r="G54" s="195"/>
      <c r="H54" s="182"/>
      <c r="I54" s="183"/>
      <c r="J54" s="184"/>
      <c r="K54" s="184"/>
      <c r="L54" s="184"/>
      <c r="M54" s="196"/>
      <c r="N54" s="197"/>
      <c r="O54" s="187"/>
      <c r="P54" s="80"/>
      <c r="Q54" s="119"/>
      <c r="R54" s="167">
        <v>91</v>
      </c>
      <c r="S54" s="98">
        <f>COUNTIF(I16:I18,"91")</f>
        <v>0</v>
      </c>
      <c r="T54" s="105"/>
      <c r="U54" s="115" t="s">
        <v>2</v>
      </c>
      <c r="V54" s="352">
        <v>0</v>
      </c>
      <c r="W54" s="119" t="s">
        <v>265</v>
      </c>
      <c r="X54" s="80"/>
    </row>
    <row r="55" spans="1:24" s="57" customFormat="1" ht="26.25">
      <c r="A55" s="75"/>
      <c r="B55" s="178"/>
      <c r="C55" s="178"/>
      <c r="D55" s="178"/>
      <c r="E55" s="179"/>
      <c r="F55" s="180"/>
      <c r="G55" s="181"/>
      <c r="H55" s="182"/>
      <c r="I55" s="183"/>
      <c r="J55" s="184"/>
      <c r="K55" s="184"/>
      <c r="L55" s="184"/>
      <c r="M55" s="185"/>
      <c r="N55" s="186"/>
      <c r="O55" s="187"/>
      <c r="P55" s="80"/>
      <c r="Q55" s="119"/>
      <c r="R55" s="114">
        <v>92</v>
      </c>
      <c r="S55" s="98">
        <f>COUNTIF(I16:I18,"92")</f>
        <v>0</v>
      </c>
      <c r="T55" s="108"/>
      <c r="U55" s="115" t="s">
        <v>8</v>
      </c>
      <c r="V55" s="352">
        <v>0</v>
      </c>
      <c r="W55" s="119"/>
      <c r="X55" s="80"/>
    </row>
    <row r="56" spans="1:24" s="57" customFormat="1" ht="26.25">
      <c r="A56" s="75"/>
      <c r="C56" s="42"/>
      <c r="D56" s="42"/>
      <c r="E56" s="47"/>
      <c r="F56" s="48"/>
      <c r="G56" s="49"/>
      <c r="H56" s="50"/>
      <c r="I56" s="51"/>
      <c r="J56" s="98"/>
      <c r="K56" s="98"/>
      <c r="L56" s="98"/>
      <c r="M56" s="52"/>
      <c r="N56" s="89"/>
      <c r="O56" s="90"/>
      <c r="P56" s="80"/>
      <c r="Q56" s="119"/>
      <c r="R56" s="114">
        <v>93</v>
      </c>
      <c r="S56" s="98">
        <f>COUNTIF(I16:I18,"93")</f>
        <v>0</v>
      </c>
      <c r="T56" s="108"/>
      <c r="U56" s="115" t="s">
        <v>9</v>
      </c>
      <c r="V56" s="352">
        <f>SUM(S53:S63)</f>
        <v>3</v>
      </c>
      <c r="W56" s="119"/>
      <c r="X56" s="80"/>
    </row>
    <row r="57" spans="1:24" s="57" customFormat="1" ht="26.25">
      <c r="A57" s="75"/>
      <c r="C57" s="42"/>
      <c r="D57" s="42"/>
      <c r="E57" s="47"/>
      <c r="F57" s="48"/>
      <c r="G57" s="49"/>
      <c r="H57" s="50"/>
      <c r="I57" s="51"/>
      <c r="J57" s="98"/>
      <c r="K57" s="98"/>
      <c r="L57" s="98"/>
      <c r="M57" s="52"/>
      <c r="N57" s="89"/>
      <c r="O57" s="90"/>
      <c r="P57" s="80"/>
      <c r="Q57" s="119"/>
      <c r="R57" s="114">
        <v>94</v>
      </c>
      <c r="S57" s="98">
        <f>COUNTIF(I16:I18,"94")</f>
        <v>0</v>
      </c>
      <c r="T57" s="108"/>
      <c r="U57" s="113" t="s">
        <v>25</v>
      </c>
      <c r="V57" s="113">
        <f>SUM(V54:V56)</f>
        <v>3</v>
      </c>
      <c r="W57" s="119"/>
      <c r="X57" s="80"/>
    </row>
    <row r="58" spans="1:24" s="57" customFormat="1" ht="26.25">
      <c r="A58" s="75"/>
      <c r="C58" s="42"/>
      <c r="D58" s="42"/>
      <c r="E58" s="47"/>
      <c r="F58" s="48"/>
      <c r="G58" s="49"/>
      <c r="H58" s="50"/>
      <c r="I58" s="51"/>
      <c r="J58" s="98"/>
      <c r="K58" s="98"/>
      <c r="L58" s="98"/>
      <c r="M58" s="52"/>
      <c r="N58" s="89"/>
      <c r="O58" s="90"/>
      <c r="P58" s="80"/>
      <c r="Q58" s="119"/>
      <c r="R58" s="114">
        <v>95</v>
      </c>
      <c r="S58" s="98">
        <f>COUNTIF(I16:I18,"95")</f>
        <v>0</v>
      </c>
      <c r="T58" s="101"/>
      <c r="U58" s="101"/>
      <c r="V58" s="101"/>
      <c r="W58" s="119"/>
      <c r="X58" s="80"/>
    </row>
    <row r="59" spans="1:24" s="57" customFormat="1" ht="26.25">
      <c r="A59" s="75"/>
      <c r="C59" s="42"/>
      <c r="D59" s="42"/>
      <c r="E59" s="47"/>
      <c r="F59" s="48"/>
      <c r="G59" s="49"/>
      <c r="H59" s="50"/>
      <c r="I59" s="51"/>
      <c r="J59" s="98"/>
      <c r="K59" s="98"/>
      <c r="L59" s="98"/>
      <c r="M59" s="52"/>
      <c r="N59" s="89"/>
      <c r="O59" s="90"/>
      <c r="P59" s="80"/>
      <c r="Q59" s="119"/>
      <c r="R59" s="114">
        <v>96</v>
      </c>
      <c r="S59" s="98">
        <f>COUNTIF(I16:I18,"96")</f>
        <v>1</v>
      </c>
      <c r="T59" s="101"/>
      <c r="U59" s="101"/>
      <c r="V59" s="101"/>
      <c r="W59" s="119"/>
      <c r="X59" s="80"/>
    </row>
    <row r="60" spans="1:24" s="57" customFormat="1" ht="26.25">
      <c r="A60" s="75"/>
      <c r="C60" s="42"/>
      <c r="D60" s="42"/>
      <c r="E60" s="47"/>
      <c r="F60" s="48"/>
      <c r="G60" s="49"/>
      <c r="H60" s="50"/>
      <c r="I60" s="51"/>
      <c r="J60" s="98"/>
      <c r="K60" s="98"/>
      <c r="L60" s="98"/>
      <c r="M60" s="52"/>
      <c r="N60" s="89"/>
      <c r="O60" s="90"/>
      <c r="P60" s="80"/>
      <c r="Q60" s="119"/>
      <c r="R60" s="114">
        <v>97</v>
      </c>
      <c r="S60" s="98">
        <f>COUNTIF(I16:I18,"97")</f>
        <v>0</v>
      </c>
      <c r="T60" s="101"/>
      <c r="U60" s="53"/>
      <c r="V60" s="53"/>
      <c r="W60" s="119"/>
      <c r="X60" s="80"/>
    </row>
    <row r="61" spans="1:24" s="57" customFormat="1" ht="26.25">
      <c r="A61" s="75"/>
      <c r="C61" s="42"/>
      <c r="D61" s="42"/>
      <c r="E61" s="47"/>
      <c r="F61" s="48"/>
      <c r="G61" s="49"/>
      <c r="H61" s="50"/>
      <c r="I61" s="51"/>
      <c r="J61" s="98"/>
      <c r="K61" s="98"/>
      <c r="L61" s="98"/>
      <c r="M61" s="52"/>
      <c r="N61" s="89"/>
      <c r="O61" s="90"/>
      <c r="P61" s="80"/>
      <c r="Q61" s="119"/>
      <c r="R61" s="114">
        <v>98</v>
      </c>
      <c r="S61" s="98">
        <f>COUNTIF(I16:I18,"98")</f>
        <v>0</v>
      </c>
      <c r="T61" s="101"/>
      <c r="U61" s="53"/>
      <c r="V61" s="53"/>
      <c r="W61" s="119"/>
      <c r="X61" s="80"/>
    </row>
    <row r="62" spans="1:24" s="57" customFormat="1" ht="26.25">
      <c r="A62" s="75"/>
      <c r="C62" s="42"/>
      <c r="D62" s="42"/>
      <c r="E62" s="47"/>
      <c r="F62" s="48"/>
      <c r="G62" s="49"/>
      <c r="H62" s="50"/>
      <c r="I62" s="51"/>
      <c r="J62" s="98"/>
      <c r="K62" s="98"/>
      <c r="L62" s="98"/>
      <c r="M62" s="52"/>
      <c r="N62" s="89"/>
      <c r="O62" s="90"/>
      <c r="P62" s="80"/>
      <c r="Q62" s="119"/>
      <c r="R62" s="114">
        <v>99</v>
      </c>
      <c r="S62" s="98">
        <f>COUNTIF(I16:I18,"99")</f>
        <v>0</v>
      </c>
      <c r="T62" s="101"/>
      <c r="U62" s="54"/>
      <c r="V62" s="54"/>
      <c r="W62" s="119"/>
      <c r="X62" s="80"/>
    </row>
    <row r="63" spans="1:24" s="57" customFormat="1" ht="26.25">
      <c r="A63" s="75"/>
      <c r="C63" s="42"/>
      <c r="D63" s="42"/>
      <c r="E63" s="47"/>
      <c r="F63" s="48"/>
      <c r="G63" s="49"/>
      <c r="H63" s="50"/>
      <c r="I63" s="51"/>
      <c r="J63" s="98"/>
      <c r="K63" s="98"/>
      <c r="L63" s="98"/>
      <c r="M63" s="52"/>
      <c r="N63" s="89"/>
      <c r="O63" s="90"/>
      <c r="P63" s="80"/>
      <c r="Q63" s="119"/>
      <c r="R63" s="114">
        <v>100</v>
      </c>
      <c r="S63" s="98">
        <f>COUNTIF(I16:I18,"100")</f>
        <v>0</v>
      </c>
      <c r="T63" s="101"/>
      <c r="U63" s="1"/>
      <c r="V63" s="1"/>
      <c r="W63" s="119"/>
      <c r="X63" s="80"/>
    </row>
    <row r="64" spans="1:24" s="57" customFormat="1" ht="27" thickBot="1">
      <c r="A64" s="75"/>
      <c r="C64" s="42"/>
      <c r="D64" s="42"/>
      <c r="E64" s="47"/>
      <c r="F64" s="48"/>
      <c r="G64" s="49"/>
      <c r="H64" s="50"/>
      <c r="I64" s="51"/>
      <c r="J64" s="98"/>
      <c r="K64" s="98"/>
      <c r="L64" s="98"/>
      <c r="M64" s="52"/>
      <c r="N64" s="89"/>
      <c r="O64" s="90"/>
      <c r="P64" s="80"/>
      <c r="Q64" s="119"/>
      <c r="R64" s="173" t="s">
        <v>25</v>
      </c>
      <c r="S64" s="174">
        <f>SUM(S53:S63)</f>
        <v>3</v>
      </c>
      <c r="T64" s="119"/>
      <c r="U64" s="119"/>
      <c r="V64" s="119"/>
      <c r="W64" s="119"/>
      <c r="X64" s="80"/>
    </row>
    <row r="65" spans="1:24" s="57" customFormat="1" ht="27" thickTop="1">
      <c r="A65" s="75"/>
      <c r="C65" s="42"/>
      <c r="D65" s="42"/>
      <c r="E65" s="47"/>
      <c r="F65" s="48"/>
      <c r="G65" s="49"/>
      <c r="H65" s="50"/>
      <c r="I65" s="51"/>
      <c r="J65" s="98"/>
      <c r="K65" s="98"/>
      <c r="L65" s="98"/>
      <c r="M65" s="52"/>
      <c r="N65" s="89"/>
      <c r="O65" s="90"/>
      <c r="P65" s="80"/>
      <c r="Q65" s="119"/>
      <c r="X65" s="80"/>
    </row>
    <row r="66" spans="1:24" s="57" customFormat="1" ht="26.25">
      <c r="A66" s="75"/>
      <c r="C66" s="42"/>
      <c r="D66" s="42"/>
      <c r="E66" s="47"/>
      <c r="F66" s="48"/>
      <c r="G66" s="49"/>
      <c r="H66" s="50"/>
      <c r="I66" s="51"/>
      <c r="J66" s="98"/>
      <c r="K66" s="98"/>
      <c r="L66" s="98"/>
      <c r="M66" s="52"/>
      <c r="N66" s="89"/>
      <c r="O66" s="90"/>
      <c r="P66" s="80"/>
      <c r="Q66" s="119"/>
      <c r="R66" s="111" t="s">
        <v>0</v>
      </c>
      <c r="S66" s="112" t="s">
        <v>22</v>
      </c>
      <c r="T66" s="105"/>
      <c r="U66" s="113" t="s">
        <v>1</v>
      </c>
      <c r="V66" s="113" t="s">
        <v>22</v>
      </c>
      <c r="W66" s="119"/>
      <c r="X66" s="80"/>
    </row>
    <row r="67" spans="1:24" s="57" customFormat="1" ht="26.25">
      <c r="A67" s="75"/>
      <c r="C67" s="42"/>
      <c r="D67" s="42"/>
      <c r="E67" s="47"/>
      <c r="F67" s="48"/>
      <c r="G67" s="49"/>
      <c r="H67" s="50"/>
      <c r="I67" s="51"/>
      <c r="J67" s="98"/>
      <c r="K67" s="98"/>
      <c r="L67" s="98"/>
      <c r="M67" s="52"/>
      <c r="N67" s="89"/>
      <c r="O67" s="90"/>
      <c r="P67" s="80"/>
      <c r="Q67" s="119"/>
      <c r="R67" s="114">
        <v>90</v>
      </c>
      <c r="S67" s="98">
        <f>COUNTIF(I19:I21,"90")</f>
        <v>0</v>
      </c>
      <c r="T67" s="105"/>
      <c r="U67" s="115" t="s">
        <v>2</v>
      </c>
      <c r="V67" s="352">
        <v>0</v>
      </c>
      <c r="W67" s="119"/>
      <c r="X67" s="80"/>
    </row>
    <row r="68" spans="1:24" s="57" customFormat="1" ht="26.25">
      <c r="A68" s="75"/>
      <c r="C68" s="42"/>
      <c r="D68" s="42"/>
      <c r="E68" s="47"/>
      <c r="F68" s="48"/>
      <c r="G68" s="49"/>
      <c r="H68" s="50"/>
      <c r="I68" s="51"/>
      <c r="J68" s="98"/>
      <c r="K68" s="98"/>
      <c r="L68" s="98"/>
      <c r="M68" s="52"/>
      <c r="N68" s="89"/>
      <c r="O68" s="90"/>
      <c r="P68" s="80"/>
      <c r="Q68" s="119"/>
      <c r="R68" s="167">
        <v>91</v>
      </c>
      <c r="S68" s="98">
        <f>COUNTIF(I19:I21,"91")</f>
        <v>1</v>
      </c>
      <c r="T68" s="108"/>
      <c r="U68" s="115" t="s">
        <v>8</v>
      </c>
      <c r="V68" s="352">
        <v>0</v>
      </c>
      <c r="W68" s="119" t="s">
        <v>1179</v>
      </c>
      <c r="X68" s="80"/>
    </row>
    <row r="69" spans="1:24" s="57" customFormat="1" ht="26.25">
      <c r="A69" s="75"/>
      <c r="C69" s="42"/>
      <c r="D69" s="42"/>
      <c r="E69" s="47"/>
      <c r="F69" s="48"/>
      <c r="G69" s="49"/>
      <c r="H69" s="50"/>
      <c r="I69" s="51"/>
      <c r="J69" s="98"/>
      <c r="K69" s="98"/>
      <c r="L69" s="98"/>
      <c r="M69" s="52"/>
      <c r="N69" s="89"/>
      <c r="O69" s="90"/>
      <c r="P69" s="80"/>
      <c r="Q69" s="119"/>
      <c r="R69" s="114">
        <v>92</v>
      </c>
      <c r="S69" s="98">
        <f>COUNTIF(I19:I21,"92")</f>
        <v>1</v>
      </c>
      <c r="T69" s="108"/>
      <c r="U69" s="115" t="s">
        <v>9</v>
      </c>
      <c r="V69" s="352">
        <f>SUM(S67:S77)</f>
        <v>3</v>
      </c>
      <c r="W69" s="119"/>
      <c r="X69" s="80"/>
    </row>
    <row r="70" spans="1:24" s="57" customFormat="1" ht="26.25">
      <c r="A70" s="75"/>
      <c r="C70" s="42"/>
      <c r="D70" s="42"/>
      <c r="E70" s="47"/>
      <c r="F70" s="48"/>
      <c r="G70" s="49"/>
      <c r="H70" s="50"/>
      <c r="I70" s="51"/>
      <c r="J70" s="98"/>
      <c r="K70" s="98"/>
      <c r="L70" s="98"/>
      <c r="M70" s="52"/>
      <c r="N70" s="89"/>
      <c r="O70" s="90"/>
      <c r="P70" s="80"/>
      <c r="Q70" s="119"/>
      <c r="R70" s="114">
        <v>93</v>
      </c>
      <c r="S70" s="98">
        <f>COUNTIF(I19:I21,"93")</f>
        <v>1</v>
      </c>
      <c r="T70" s="108"/>
      <c r="U70" s="113" t="s">
        <v>25</v>
      </c>
      <c r="V70" s="113">
        <f>SUM(V67:V69)</f>
        <v>3</v>
      </c>
      <c r="W70" s="119"/>
      <c r="X70" s="80"/>
    </row>
    <row r="71" spans="1:24" s="57" customFormat="1" ht="26.25">
      <c r="A71" s="158"/>
      <c r="C71" s="42"/>
      <c r="D71" s="42"/>
      <c r="E71" s="47"/>
      <c r="F71" s="48"/>
      <c r="G71" s="49"/>
      <c r="H71" s="50"/>
      <c r="I71" s="51"/>
      <c r="J71" s="98"/>
      <c r="K71" s="98"/>
      <c r="L71" s="98"/>
      <c r="M71" s="52"/>
      <c r="N71" s="89"/>
      <c r="O71" s="90"/>
      <c r="P71" s="80"/>
      <c r="Q71" s="119"/>
      <c r="R71" s="114">
        <v>94</v>
      </c>
      <c r="S71" s="98">
        <f>COUNTIF(I19:I21,"94")</f>
        <v>0</v>
      </c>
      <c r="T71" s="101"/>
      <c r="U71" s="101"/>
      <c r="V71" s="101"/>
      <c r="W71" s="119"/>
      <c r="X71" s="80"/>
    </row>
    <row r="72" spans="1:24" s="57" customFormat="1" ht="26.25">
      <c r="A72" s="158"/>
      <c r="C72" s="42"/>
      <c r="D72" s="42"/>
      <c r="E72" s="47"/>
      <c r="F72" s="48"/>
      <c r="G72" s="49"/>
      <c r="H72" s="50"/>
      <c r="I72" s="51"/>
      <c r="J72" s="98"/>
      <c r="K72" s="98"/>
      <c r="L72" s="98"/>
      <c r="M72" s="52"/>
      <c r="N72" s="89"/>
      <c r="O72" s="90"/>
      <c r="P72" s="80"/>
      <c r="Q72" s="119"/>
      <c r="R72" s="114">
        <v>95</v>
      </c>
      <c r="S72" s="98">
        <f>COUNTIF(I19:I21,"95")</f>
        <v>0</v>
      </c>
      <c r="T72" s="101"/>
      <c r="U72" s="101"/>
      <c r="V72" s="101"/>
      <c r="W72" s="119"/>
      <c r="X72" s="80"/>
    </row>
    <row r="73" spans="1:24" s="57" customFormat="1" ht="26.25">
      <c r="A73" s="75"/>
      <c r="C73" s="42"/>
      <c r="D73" s="42"/>
      <c r="E73" s="47"/>
      <c r="F73" s="48"/>
      <c r="G73" s="49"/>
      <c r="H73" s="50"/>
      <c r="I73" s="51"/>
      <c r="J73" s="98"/>
      <c r="K73" s="98"/>
      <c r="L73" s="98"/>
      <c r="M73" s="52"/>
      <c r="N73" s="89"/>
      <c r="O73" s="90"/>
      <c r="P73" s="80"/>
      <c r="Q73" s="119"/>
      <c r="R73" s="114">
        <v>96</v>
      </c>
      <c r="S73" s="98">
        <f>COUNTIF(I19:I21,"96")</f>
        <v>0</v>
      </c>
      <c r="T73" s="101"/>
      <c r="U73" s="53"/>
      <c r="V73" s="53"/>
      <c r="W73" s="119"/>
      <c r="X73" s="80"/>
    </row>
    <row r="74" spans="1:24" s="57" customFormat="1" ht="26.25">
      <c r="A74" s="75"/>
      <c r="C74" s="42"/>
      <c r="D74" s="42"/>
      <c r="E74" s="47"/>
      <c r="F74" s="48"/>
      <c r="G74" s="49"/>
      <c r="H74" s="50"/>
      <c r="I74" s="51"/>
      <c r="J74" s="98"/>
      <c r="K74" s="98"/>
      <c r="L74" s="98"/>
      <c r="M74" s="52"/>
      <c r="N74" s="89"/>
      <c r="O74" s="90"/>
      <c r="P74" s="80"/>
      <c r="Q74" s="119"/>
      <c r="R74" s="114">
        <v>97</v>
      </c>
      <c r="S74" s="98">
        <f>COUNTIF(I19:I21,"97")</f>
        <v>0</v>
      </c>
      <c r="T74" s="101"/>
      <c r="U74" s="53"/>
      <c r="V74" s="53"/>
      <c r="W74" s="119"/>
      <c r="X74" s="80"/>
    </row>
    <row r="75" spans="1:24" s="57" customFormat="1" ht="26.25">
      <c r="A75" s="75"/>
      <c r="C75" s="42"/>
      <c r="D75" s="42"/>
      <c r="E75" s="47"/>
      <c r="F75" s="48"/>
      <c r="G75" s="49"/>
      <c r="H75" s="50"/>
      <c r="I75" s="51"/>
      <c r="J75" s="98"/>
      <c r="K75" s="98"/>
      <c r="L75" s="98"/>
      <c r="M75" s="52"/>
      <c r="N75" s="89"/>
      <c r="O75" s="90"/>
      <c r="P75" s="80"/>
      <c r="Q75" s="119"/>
      <c r="R75" s="114">
        <v>98</v>
      </c>
      <c r="S75" s="98">
        <f>COUNTIF(I19:I21,"98")</f>
        <v>0</v>
      </c>
      <c r="T75" s="101"/>
      <c r="U75" s="54"/>
      <c r="V75" s="54"/>
      <c r="W75" s="119"/>
      <c r="X75" s="80"/>
    </row>
    <row r="76" spans="1:24" s="57" customFormat="1" ht="26.25">
      <c r="A76" s="88"/>
      <c r="B76" s="42"/>
      <c r="C76" s="42"/>
      <c r="D76" s="42"/>
      <c r="E76" s="47"/>
      <c r="F76" s="48"/>
      <c r="G76" s="49"/>
      <c r="H76" s="50"/>
      <c r="I76" s="51"/>
      <c r="J76" s="98"/>
      <c r="K76" s="98"/>
      <c r="L76" s="98"/>
      <c r="M76" s="52"/>
      <c r="N76" s="89"/>
      <c r="O76" s="90"/>
      <c r="P76" s="80"/>
      <c r="Q76" s="119"/>
      <c r="R76" s="114">
        <v>99</v>
      </c>
      <c r="S76" s="98">
        <f>COUNTIF(I19:I21,"99")</f>
        <v>0</v>
      </c>
      <c r="T76" s="101"/>
      <c r="U76" s="1"/>
      <c r="V76" s="1"/>
      <c r="W76" s="119"/>
      <c r="X76" s="80"/>
    </row>
    <row r="77" spans="1:24" s="57" customFormat="1" ht="26.25">
      <c r="A77" s="88"/>
      <c r="B77" s="42"/>
      <c r="C77" s="42"/>
      <c r="D77" s="42"/>
      <c r="E77" s="47"/>
      <c r="F77" s="48"/>
      <c r="G77" s="49"/>
      <c r="H77" s="50"/>
      <c r="I77" s="51"/>
      <c r="J77" s="98"/>
      <c r="K77" s="98"/>
      <c r="L77" s="98"/>
      <c r="M77" s="52"/>
      <c r="N77" s="89"/>
      <c r="O77" s="90"/>
      <c r="P77" s="80"/>
      <c r="Q77" s="119"/>
      <c r="R77" s="114">
        <v>100</v>
      </c>
      <c r="S77" s="98">
        <f>COUNTIF(I19:I21,"100")</f>
        <v>0</v>
      </c>
      <c r="T77" s="119"/>
      <c r="U77" s="119"/>
      <c r="V77" s="119"/>
      <c r="W77" s="119"/>
      <c r="X77" s="80"/>
    </row>
    <row r="78" spans="1:24" s="57" customFormat="1" ht="27" thickBot="1">
      <c r="A78" s="88"/>
      <c r="B78" s="42"/>
      <c r="C78" s="42"/>
      <c r="D78" s="42"/>
      <c r="E78" s="47"/>
      <c r="F78" s="48"/>
      <c r="G78" s="49"/>
      <c r="H78" s="50"/>
      <c r="I78" s="51"/>
      <c r="J78" s="98"/>
      <c r="K78" s="98"/>
      <c r="L78" s="98"/>
      <c r="M78" s="52"/>
      <c r="N78" s="89"/>
      <c r="O78" s="90"/>
      <c r="P78" s="80"/>
      <c r="Q78" s="119"/>
      <c r="R78" s="173" t="s">
        <v>25</v>
      </c>
      <c r="S78" s="174">
        <f>SUM(S67:S77)</f>
        <v>3</v>
      </c>
      <c r="W78" s="119"/>
      <c r="X78" s="80"/>
    </row>
    <row r="79" spans="1:24" s="57" customFormat="1" ht="27" thickTop="1">
      <c r="A79" s="88"/>
      <c r="B79" s="42"/>
      <c r="C79" s="42"/>
      <c r="D79" s="42"/>
      <c r="E79" s="47"/>
      <c r="F79" s="48"/>
      <c r="G79" s="49"/>
      <c r="H79" s="50"/>
      <c r="I79" s="51"/>
      <c r="J79" s="98"/>
      <c r="K79" s="98"/>
      <c r="L79" s="98"/>
      <c r="M79" s="52"/>
      <c r="N79" s="89"/>
      <c r="O79" s="90"/>
      <c r="P79" s="80"/>
      <c r="Q79" s="119"/>
      <c r="W79" s="119" t="s">
        <v>1349</v>
      </c>
      <c r="X79" s="80"/>
    </row>
    <row r="80" spans="1:24" s="57" customFormat="1" ht="26.25">
      <c r="A80" s="88"/>
      <c r="B80" s="42"/>
      <c r="C80" s="42"/>
      <c r="D80" s="42"/>
      <c r="E80" s="47"/>
      <c r="F80" s="48"/>
      <c r="G80" s="49"/>
      <c r="H80" s="50"/>
      <c r="I80" s="51"/>
      <c r="J80" s="98"/>
      <c r="K80" s="98"/>
      <c r="L80" s="98"/>
      <c r="M80" s="52"/>
      <c r="N80" s="89"/>
      <c r="O80" s="90"/>
      <c r="P80" s="80"/>
      <c r="Q80" s="119"/>
      <c r="R80" s="111" t="s">
        <v>0</v>
      </c>
      <c r="S80" s="112" t="s">
        <v>22</v>
      </c>
      <c r="T80" s="105"/>
      <c r="U80" s="113" t="s">
        <v>1</v>
      </c>
      <c r="V80" s="113" t="s">
        <v>22</v>
      </c>
      <c r="W80" s="119"/>
      <c r="X80" s="80"/>
    </row>
    <row r="81" spans="1:24" s="57" customFormat="1" ht="26.25">
      <c r="A81" s="88"/>
      <c r="B81" s="42"/>
      <c r="C81" s="42"/>
      <c r="D81" s="42"/>
      <c r="E81" s="47"/>
      <c r="F81" s="48"/>
      <c r="G81" s="49"/>
      <c r="H81" s="50"/>
      <c r="I81" s="51"/>
      <c r="J81" s="98"/>
      <c r="K81" s="98"/>
      <c r="L81" s="98"/>
      <c r="M81" s="52"/>
      <c r="N81" s="89"/>
      <c r="O81" s="90"/>
      <c r="P81" s="80"/>
      <c r="Q81" s="119"/>
      <c r="R81" s="114">
        <v>90</v>
      </c>
      <c r="S81" s="98">
        <f>COUNTIF(I22:I22,"90")</f>
        <v>0</v>
      </c>
      <c r="T81" s="105"/>
      <c r="U81" s="115" t="s">
        <v>2</v>
      </c>
      <c r="V81" s="352">
        <v>0</v>
      </c>
      <c r="W81" s="119"/>
      <c r="X81" s="80"/>
    </row>
    <row r="82" spans="1:24" s="57" customFormat="1" ht="26.25">
      <c r="A82" s="88"/>
      <c r="B82" s="42"/>
      <c r="C82" s="42"/>
      <c r="D82" s="42"/>
      <c r="E82" s="47"/>
      <c r="F82" s="48"/>
      <c r="G82" s="49"/>
      <c r="H82" s="50"/>
      <c r="I82" s="51"/>
      <c r="J82" s="98"/>
      <c r="K82" s="98"/>
      <c r="L82" s="98"/>
      <c r="M82" s="52"/>
      <c r="N82" s="89"/>
      <c r="O82" s="90"/>
      <c r="P82" s="80"/>
      <c r="Q82" s="119"/>
      <c r="R82" s="96">
        <v>91</v>
      </c>
      <c r="S82" s="166">
        <f>COUNTIF(I22:I22,"91")</f>
        <v>0</v>
      </c>
      <c r="T82" s="108"/>
      <c r="U82" s="115" t="s">
        <v>8</v>
      </c>
      <c r="V82" s="352">
        <v>0</v>
      </c>
      <c r="W82" s="119"/>
      <c r="X82" s="80"/>
    </row>
    <row r="83" spans="1:24" s="57" customFormat="1" ht="26.25">
      <c r="A83" s="88"/>
      <c r="B83" s="42"/>
      <c r="C83" s="42"/>
      <c r="D83" s="42"/>
      <c r="E83" s="47"/>
      <c r="F83" s="48"/>
      <c r="G83" s="49"/>
      <c r="H83" s="50"/>
      <c r="I83" s="51"/>
      <c r="J83" s="98"/>
      <c r="K83" s="98"/>
      <c r="L83" s="98"/>
      <c r="M83" s="52"/>
      <c r="N83" s="89"/>
      <c r="O83" s="90"/>
      <c r="P83" s="80"/>
      <c r="Q83" s="119"/>
      <c r="R83" s="114">
        <v>92</v>
      </c>
      <c r="S83" s="98">
        <f>COUNTIF(I22:I22,"92")</f>
        <v>0</v>
      </c>
      <c r="T83" s="108"/>
      <c r="U83" s="115" t="s">
        <v>9</v>
      </c>
      <c r="V83" s="352">
        <f>SUM(S81:S91)</f>
        <v>1</v>
      </c>
      <c r="W83" s="119"/>
      <c r="X83" s="80"/>
    </row>
    <row r="84" spans="1:24" s="57" customFormat="1" ht="26.25">
      <c r="A84" s="88"/>
      <c r="B84" s="42"/>
      <c r="C84" s="42"/>
      <c r="D84" s="42"/>
      <c r="E84" s="47"/>
      <c r="F84" s="48"/>
      <c r="G84" s="49"/>
      <c r="H84" s="50"/>
      <c r="I84" s="51"/>
      <c r="J84" s="98"/>
      <c r="K84" s="98"/>
      <c r="L84" s="98"/>
      <c r="M84" s="52"/>
      <c r="N84" s="89"/>
      <c r="O84" s="90"/>
      <c r="P84" s="81"/>
      <c r="Q84" s="101"/>
      <c r="R84" s="114">
        <v>93</v>
      </c>
      <c r="S84" s="98">
        <f>COUNTIF(I22:I22,"93")</f>
        <v>0</v>
      </c>
      <c r="T84" s="108"/>
      <c r="U84" s="113" t="s">
        <v>25</v>
      </c>
      <c r="V84" s="113">
        <f>SUM(V81:V83)</f>
        <v>1</v>
      </c>
      <c r="W84" s="119"/>
      <c r="X84" s="81"/>
    </row>
    <row r="85" spans="1:24" s="57" customFormat="1" ht="26.25">
      <c r="A85" s="88"/>
      <c r="B85" s="42"/>
      <c r="C85" s="42"/>
      <c r="D85" s="42"/>
      <c r="E85" s="47"/>
      <c r="F85" s="48"/>
      <c r="G85" s="49"/>
      <c r="H85" s="50"/>
      <c r="I85" s="51"/>
      <c r="J85" s="98"/>
      <c r="K85" s="98"/>
      <c r="L85" s="98"/>
      <c r="M85" s="52"/>
      <c r="N85" s="89"/>
      <c r="O85" s="90"/>
      <c r="P85" s="80"/>
      <c r="Q85" s="101"/>
      <c r="R85" s="114">
        <v>94</v>
      </c>
      <c r="S85" s="98">
        <f>COUNTIF(I22:I22,"94")</f>
        <v>0</v>
      </c>
      <c r="T85" s="101"/>
      <c r="U85" s="101"/>
      <c r="V85" s="101"/>
      <c r="W85" s="119"/>
      <c r="X85" s="80"/>
    </row>
    <row r="86" spans="16:24" ht="26.25">
      <c r="P86" s="57"/>
      <c r="R86" s="114">
        <v>95</v>
      </c>
      <c r="S86" s="98">
        <f>COUNTIF(I22:I22,"95")</f>
        <v>0</v>
      </c>
      <c r="W86" s="119"/>
      <c r="X86" s="57"/>
    </row>
    <row r="87" spans="16:24" ht="26.25">
      <c r="P87" s="57"/>
      <c r="Q87" s="119"/>
      <c r="R87" s="114">
        <v>96</v>
      </c>
      <c r="S87" s="98">
        <f>COUNTIF(I22:I22,"96")</f>
        <v>1</v>
      </c>
      <c r="U87" s="53"/>
      <c r="V87" s="53"/>
      <c r="X87" s="57"/>
    </row>
    <row r="88" spans="1:23" s="57" customFormat="1" ht="26.25">
      <c r="A88" s="88"/>
      <c r="B88" s="42"/>
      <c r="C88" s="42"/>
      <c r="D88" s="42"/>
      <c r="E88" s="47"/>
      <c r="F88" s="48"/>
      <c r="G88" s="49"/>
      <c r="H88" s="50"/>
      <c r="I88" s="51"/>
      <c r="J88" s="98"/>
      <c r="K88" s="98"/>
      <c r="L88" s="98"/>
      <c r="M88" s="52"/>
      <c r="N88" s="89"/>
      <c r="O88" s="90"/>
      <c r="Q88" s="101"/>
      <c r="R88" s="114">
        <v>97</v>
      </c>
      <c r="S88" s="98">
        <f>COUNTIF(I22:I22,"97")</f>
        <v>0</v>
      </c>
      <c r="T88" s="101"/>
      <c r="U88" s="53"/>
      <c r="V88" s="53"/>
      <c r="W88" s="101"/>
    </row>
    <row r="89" spans="16:24" ht="26.25">
      <c r="P89" s="82"/>
      <c r="R89" s="114">
        <v>98</v>
      </c>
      <c r="S89" s="98">
        <f>COUNTIF(I22:I22,"98")</f>
        <v>0</v>
      </c>
      <c r="U89" s="54"/>
      <c r="V89" s="54"/>
      <c r="X89" s="82"/>
    </row>
    <row r="90" spans="16:24" ht="26.25">
      <c r="P90" s="82"/>
      <c r="R90" s="114">
        <v>99</v>
      </c>
      <c r="S90" s="98">
        <f>COUNTIF(I22:I22,"99")</f>
        <v>0</v>
      </c>
      <c r="U90" s="1"/>
      <c r="V90" s="1"/>
      <c r="W90" s="119"/>
      <c r="X90" s="82"/>
    </row>
    <row r="91" spans="16:24" ht="26.25">
      <c r="P91" s="82"/>
      <c r="R91" s="114">
        <v>100</v>
      </c>
      <c r="S91" s="98">
        <f>COUNTIF(I22:I22,"100")</f>
        <v>0</v>
      </c>
      <c r="T91" s="119"/>
      <c r="U91" s="119"/>
      <c r="V91" s="119"/>
      <c r="X91" s="82"/>
    </row>
    <row r="92" spans="16:24" ht="27" thickBot="1">
      <c r="P92" s="82"/>
      <c r="R92" s="173" t="s">
        <v>25</v>
      </c>
      <c r="S92" s="174">
        <f>SUM(S81:S91)</f>
        <v>1</v>
      </c>
      <c r="X92" s="82"/>
    </row>
    <row r="93" spans="16:24" ht="27" thickTop="1">
      <c r="P93" s="82"/>
      <c r="X93" s="82"/>
    </row>
    <row r="95" spans="18:23" ht="26.25">
      <c r="R95" s="172"/>
      <c r="S95" s="96"/>
      <c r="T95" s="119"/>
      <c r="U95" s="119"/>
      <c r="V95" s="119"/>
      <c r="W95" s="119"/>
    </row>
    <row r="96" spans="18:23" ht="26.25">
      <c r="R96" s="172"/>
      <c r="S96" s="96"/>
      <c r="T96" s="119"/>
      <c r="U96" s="119"/>
      <c r="V96" s="119"/>
      <c r="W96" s="119"/>
    </row>
    <row r="97" spans="16:24" ht="26.25">
      <c r="P97" s="57"/>
      <c r="R97" s="172"/>
      <c r="S97" s="96"/>
      <c r="T97" s="119"/>
      <c r="U97" s="119"/>
      <c r="V97" s="119"/>
      <c r="W97" s="119"/>
      <c r="X97" s="57"/>
    </row>
    <row r="98" spans="18:23" ht="26.25">
      <c r="R98" s="172"/>
      <c r="S98" s="96"/>
      <c r="T98" s="119"/>
      <c r="U98" s="119"/>
      <c r="V98" s="119"/>
      <c r="W98" s="119"/>
    </row>
    <row r="99" spans="17:23" ht="26.25">
      <c r="Q99" s="119"/>
      <c r="R99" s="172"/>
      <c r="S99" s="96"/>
      <c r="T99" s="119"/>
      <c r="U99" s="119"/>
      <c r="V99" s="119"/>
      <c r="W99" s="119"/>
    </row>
    <row r="100" spans="18:23" ht="26.25">
      <c r="R100" s="172"/>
      <c r="S100" s="96"/>
      <c r="T100" s="119"/>
      <c r="U100" s="119"/>
      <c r="V100" s="119"/>
      <c r="W100" s="119"/>
    </row>
    <row r="101" spans="18:23" ht="26.25">
      <c r="R101" s="172"/>
      <c r="S101" s="96"/>
      <c r="T101" s="119"/>
      <c r="U101" s="119"/>
      <c r="V101" s="119"/>
      <c r="W101" s="119"/>
    </row>
    <row r="102" spans="18:23" ht="26.25">
      <c r="R102" s="172"/>
      <c r="S102" s="96"/>
      <c r="T102" s="119"/>
      <c r="U102" s="119"/>
      <c r="V102" s="119"/>
      <c r="W102" s="119"/>
    </row>
    <row r="103" spans="18:23" ht="26.25">
      <c r="R103" s="172"/>
      <c r="S103" s="96"/>
      <c r="T103" s="119"/>
      <c r="U103" s="119"/>
      <c r="V103" s="119"/>
      <c r="W103" s="119"/>
    </row>
    <row r="104" spans="1:24" s="57" customFormat="1" ht="26.25">
      <c r="A104" s="88"/>
      <c r="B104" s="42"/>
      <c r="C104" s="42"/>
      <c r="D104" s="42"/>
      <c r="E104" s="47"/>
      <c r="F104" s="48"/>
      <c r="G104" s="49"/>
      <c r="H104" s="50"/>
      <c r="I104" s="51"/>
      <c r="J104" s="98"/>
      <c r="K104" s="98"/>
      <c r="L104" s="98"/>
      <c r="M104" s="52"/>
      <c r="N104" s="89"/>
      <c r="O104" s="90"/>
      <c r="P104" s="42"/>
      <c r="Q104" s="101"/>
      <c r="R104" s="172"/>
      <c r="S104" s="96"/>
      <c r="T104" s="119"/>
      <c r="U104" s="119"/>
      <c r="V104" s="119"/>
      <c r="W104" s="119"/>
      <c r="X104" s="42"/>
    </row>
    <row r="105" spans="1:24" s="57" customFormat="1" ht="26.25">
      <c r="A105" s="88"/>
      <c r="B105" s="42"/>
      <c r="C105" s="42"/>
      <c r="D105" s="42"/>
      <c r="E105" s="47"/>
      <c r="F105" s="48"/>
      <c r="G105" s="49"/>
      <c r="H105" s="50"/>
      <c r="I105" s="51"/>
      <c r="J105" s="98"/>
      <c r="K105" s="98"/>
      <c r="L105" s="98"/>
      <c r="M105" s="52"/>
      <c r="N105" s="89"/>
      <c r="O105" s="90"/>
      <c r="P105" s="42"/>
      <c r="Q105" s="101"/>
      <c r="R105" s="172"/>
      <c r="S105" s="96"/>
      <c r="T105" s="119"/>
      <c r="U105" s="119"/>
      <c r="V105" s="119"/>
      <c r="W105" s="119"/>
      <c r="X105" s="42"/>
    </row>
    <row r="106" spans="1:24" s="57" customFormat="1" ht="26.25">
      <c r="A106" s="88"/>
      <c r="B106" s="42"/>
      <c r="C106" s="42"/>
      <c r="D106" s="42"/>
      <c r="E106" s="47"/>
      <c r="F106" s="48"/>
      <c r="G106" s="49"/>
      <c r="H106" s="50"/>
      <c r="I106" s="51"/>
      <c r="J106" s="98"/>
      <c r="K106" s="98"/>
      <c r="L106" s="98"/>
      <c r="M106" s="52"/>
      <c r="N106" s="89"/>
      <c r="O106" s="90"/>
      <c r="P106" s="42"/>
      <c r="Q106" s="101"/>
      <c r="R106" s="172"/>
      <c r="S106" s="96"/>
      <c r="T106" s="119"/>
      <c r="U106" s="119"/>
      <c r="V106" s="119"/>
      <c r="W106" s="119"/>
      <c r="X106" s="42"/>
    </row>
    <row r="107" spans="1:24" s="57" customFormat="1" ht="26.25">
      <c r="A107" s="88"/>
      <c r="B107" s="42"/>
      <c r="C107" s="42"/>
      <c r="D107" s="42"/>
      <c r="E107" s="47"/>
      <c r="F107" s="48"/>
      <c r="G107" s="49"/>
      <c r="H107" s="50"/>
      <c r="I107" s="51"/>
      <c r="J107" s="98"/>
      <c r="K107" s="98"/>
      <c r="L107" s="98"/>
      <c r="M107" s="52"/>
      <c r="N107" s="89"/>
      <c r="O107" s="90"/>
      <c r="P107" s="42"/>
      <c r="Q107" s="119"/>
      <c r="R107" s="172"/>
      <c r="S107" s="96"/>
      <c r="T107" s="119"/>
      <c r="U107" s="119"/>
      <c r="V107" s="119"/>
      <c r="W107" s="119"/>
      <c r="X107" s="42"/>
    </row>
    <row r="108" spans="1:24" s="57" customFormat="1" ht="26.25">
      <c r="A108" s="88"/>
      <c r="B108" s="42"/>
      <c r="C108" s="42"/>
      <c r="D108" s="42"/>
      <c r="E108" s="47"/>
      <c r="F108" s="48"/>
      <c r="G108" s="49"/>
      <c r="H108" s="50"/>
      <c r="I108" s="51"/>
      <c r="J108" s="98"/>
      <c r="K108" s="98"/>
      <c r="L108" s="98"/>
      <c r="M108" s="52"/>
      <c r="N108" s="89"/>
      <c r="O108" s="90"/>
      <c r="P108" s="42"/>
      <c r="Q108" s="101"/>
      <c r="R108" s="172"/>
      <c r="S108" s="96"/>
      <c r="T108" s="119"/>
      <c r="U108" s="119"/>
      <c r="V108" s="119"/>
      <c r="W108" s="119"/>
      <c r="X108" s="42"/>
    </row>
    <row r="109" spans="1:24" s="82" customFormat="1" ht="26.25">
      <c r="A109" s="88"/>
      <c r="B109" s="42"/>
      <c r="C109" s="42"/>
      <c r="D109" s="42"/>
      <c r="E109" s="47"/>
      <c r="F109" s="48"/>
      <c r="G109" s="49"/>
      <c r="H109" s="50"/>
      <c r="I109" s="51"/>
      <c r="J109" s="98"/>
      <c r="K109" s="98"/>
      <c r="L109" s="98"/>
      <c r="M109" s="52"/>
      <c r="N109" s="89"/>
      <c r="O109" s="90"/>
      <c r="P109" s="57"/>
      <c r="Q109" s="101"/>
      <c r="R109" s="172"/>
      <c r="S109" s="96"/>
      <c r="T109" s="119"/>
      <c r="U109" s="119"/>
      <c r="V109" s="119"/>
      <c r="W109" s="119"/>
      <c r="X109" s="57"/>
    </row>
    <row r="110" spans="1:24" s="82" customFormat="1" ht="26.25">
      <c r="A110" s="88"/>
      <c r="B110" s="42"/>
      <c r="C110" s="42"/>
      <c r="D110" s="42"/>
      <c r="E110" s="47"/>
      <c r="F110" s="48"/>
      <c r="G110" s="49"/>
      <c r="H110" s="50"/>
      <c r="I110" s="51"/>
      <c r="J110" s="98"/>
      <c r="K110" s="98"/>
      <c r="L110" s="98"/>
      <c r="M110" s="52"/>
      <c r="N110" s="89"/>
      <c r="O110" s="90"/>
      <c r="P110" s="42"/>
      <c r="Q110" s="101"/>
      <c r="R110" s="172"/>
      <c r="S110" s="96"/>
      <c r="T110" s="119"/>
      <c r="U110" s="119"/>
      <c r="V110" s="119"/>
      <c r="W110" s="119"/>
      <c r="X110" s="42"/>
    </row>
    <row r="111" spans="1:24" s="82" customFormat="1" ht="26.25">
      <c r="A111" s="88"/>
      <c r="B111" s="42"/>
      <c r="C111" s="42"/>
      <c r="D111" s="42"/>
      <c r="E111" s="47"/>
      <c r="F111" s="48"/>
      <c r="G111" s="49"/>
      <c r="H111" s="50"/>
      <c r="I111" s="51"/>
      <c r="J111" s="98"/>
      <c r="K111" s="98"/>
      <c r="L111" s="98"/>
      <c r="M111" s="52"/>
      <c r="N111" s="89"/>
      <c r="O111" s="90"/>
      <c r="P111" s="42"/>
      <c r="Q111" s="101"/>
      <c r="R111" s="172"/>
      <c r="S111" s="96"/>
      <c r="T111" s="119"/>
      <c r="U111" s="119"/>
      <c r="V111" s="119"/>
      <c r="W111" s="119"/>
      <c r="X111" s="42"/>
    </row>
    <row r="112" spans="1:24" s="82" customFormat="1" ht="26.25">
      <c r="A112" s="88"/>
      <c r="B112" s="42"/>
      <c r="C112" s="42"/>
      <c r="D112" s="42"/>
      <c r="E112" s="47"/>
      <c r="F112" s="48"/>
      <c r="G112" s="49"/>
      <c r="H112" s="50"/>
      <c r="I112" s="51"/>
      <c r="J112" s="98"/>
      <c r="K112" s="98"/>
      <c r="L112" s="98"/>
      <c r="M112" s="52"/>
      <c r="N112" s="89"/>
      <c r="O112" s="90"/>
      <c r="P112" s="42"/>
      <c r="Q112" s="101"/>
      <c r="R112" s="172"/>
      <c r="S112" s="96"/>
      <c r="T112" s="119"/>
      <c r="U112" s="119"/>
      <c r="V112" s="119"/>
      <c r="W112" s="119"/>
      <c r="X112" s="42"/>
    </row>
    <row r="113" spans="1:24" s="82" customFormat="1" ht="26.25">
      <c r="A113" s="88"/>
      <c r="B113" s="42"/>
      <c r="C113" s="42"/>
      <c r="D113" s="42"/>
      <c r="E113" s="47"/>
      <c r="F113" s="48"/>
      <c r="G113" s="49"/>
      <c r="H113" s="50"/>
      <c r="I113" s="51"/>
      <c r="J113" s="98"/>
      <c r="K113" s="98"/>
      <c r="L113" s="98"/>
      <c r="M113" s="52"/>
      <c r="N113" s="89"/>
      <c r="O113" s="90"/>
      <c r="P113" s="42"/>
      <c r="Q113" s="119"/>
      <c r="R113" s="172"/>
      <c r="S113" s="96"/>
      <c r="T113" s="119"/>
      <c r="U113" s="119"/>
      <c r="V113" s="119"/>
      <c r="W113" s="119"/>
      <c r="X113" s="42"/>
    </row>
    <row r="114" spans="18:23" ht="26.25">
      <c r="R114" s="172"/>
      <c r="S114" s="96"/>
      <c r="T114" s="119"/>
      <c r="U114" s="119"/>
      <c r="V114" s="119"/>
      <c r="W114" s="119"/>
    </row>
    <row r="115" spans="18:23" ht="26.25">
      <c r="R115" s="172"/>
      <c r="S115" s="96"/>
      <c r="T115" s="119"/>
      <c r="U115" s="119"/>
      <c r="V115" s="119"/>
      <c r="W115" s="119"/>
    </row>
    <row r="116" spans="17:23" ht="26.25">
      <c r="Q116" s="119"/>
      <c r="R116" s="172"/>
      <c r="S116" s="96"/>
      <c r="T116" s="119"/>
      <c r="U116" s="119"/>
      <c r="V116" s="119"/>
      <c r="W116" s="119"/>
    </row>
    <row r="117" spans="18:23" ht="26.25">
      <c r="R117" s="172"/>
      <c r="S117" s="96"/>
      <c r="T117" s="119"/>
      <c r="U117" s="119"/>
      <c r="V117" s="119"/>
      <c r="W117" s="119"/>
    </row>
    <row r="118" spans="1:23" s="57" customFormat="1" ht="26.25">
      <c r="A118" s="88"/>
      <c r="B118" s="42"/>
      <c r="C118" s="42"/>
      <c r="D118" s="42"/>
      <c r="E118" s="47"/>
      <c r="F118" s="48"/>
      <c r="G118" s="49"/>
      <c r="H118" s="50"/>
      <c r="I118" s="51"/>
      <c r="J118" s="98"/>
      <c r="K118" s="98"/>
      <c r="L118" s="98"/>
      <c r="M118" s="52"/>
      <c r="N118" s="89"/>
      <c r="O118" s="90"/>
      <c r="Q118" s="101"/>
      <c r="R118" s="172"/>
      <c r="S118" s="96"/>
      <c r="T118" s="119"/>
      <c r="U118" s="119"/>
      <c r="V118" s="119"/>
      <c r="W118" s="119"/>
    </row>
    <row r="119" spans="18:23" ht="26.25">
      <c r="R119" s="172"/>
      <c r="S119" s="96"/>
      <c r="T119" s="119"/>
      <c r="U119" s="119"/>
      <c r="V119" s="119"/>
      <c r="W119" s="119"/>
    </row>
    <row r="120" spans="18:23" ht="26.25">
      <c r="R120" s="172"/>
      <c r="S120" s="96"/>
      <c r="T120" s="119"/>
      <c r="U120" s="119"/>
      <c r="V120" s="119"/>
      <c r="W120" s="119"/>
    </row>
    <row r="121" spans="18:23" ht="26.25">
      <c r="R121" s="172"/>
      <c r="S121" s="96"/>
      <c r="T121" s="119"/>
      <c r="U121" s="119"/>
      <c r="V121" s="119"/>
      <c r="W121" s="119"/>
    </row>
    <row r="122" spans="17:23" ht="26.25">
      <c r="Q122" s="119"/>
      <c r="R122" s="119"/>
      <c r="S122" s="119"/>
      <c r="T122" s="119"/>
      <c r="U122" s="119"/>
      <c r="V122" s="119"/>
      <c r="W122" s="119"/>
    </row>
    <row r="123" spans="17:23" ht="26.25">
      <c r="Q123" s="119"/>
      <c r="R123" s="119"/>
      <c r="S123" s="119"/>
      <c r="T123" s="119"/>
      <c r="U123" s="119"/>
      <c r="V123" s="119"/>
      <c r="W123" s="119"/>
    </row>
    <row r="124" spans="17:23" ht="26.25">
      <c r="Q124" s="119"/>
      <c r="R124" s="119"/>
      <c r="S124" s="119"/>
      <c r="T124" s="119"/>
      <c r="U124" s="119"/>
      <c r="V124" s="119"/>
      <c r="W124" s="119"/>
    </row>
    <row r="125" spans="17:23" ht="26.25">
      <c r="Q125" s="119"/>
      <c r="R125" s="119"/>
      <c r="S125" s="119"/>
      <c r="T125" s="119"/>
      <c r="U125" s="119"/>
      <c r="V125" s="119"/>
      <c r="W125" s="119"/>
    </row>
    <row r="126" spans="17:23" ht="26.25">
      <c r="Q126" s="119"/>
      <c r="R126" s="119"/>
      <c r="S126" s="119"/>
      <c r="T126" s="119"/>
      <c r="U126" s="119"/>
      <c r="V126" s="119"/>
      <c r="W126" s="119"/>
    </row>
    <row r="127" spans="1:23" s="57" customFormat="1" ht="26.25">
      <c r="A127" s="88"/>
      <c r="B127" s="42"/>
      <c r="C127" s="42"/>
      <c r="D127" s="42"/>
      <c r="E127" s="47"/>
      <c r="F127" s="48"/>
      <c r="G127" s="49"/>
      <c r="H127" s="50"/>
      <c r="I127" s="51"/>
      <c r="J127" s="98"/>
      <c r="K127" s="98"/>
      <c r="L127" s="98"/>
      <c r="M127" s="52"/>
      <c r="N127" s="89"/>
      <c r="O127" s="90"/>
      <c r="Q127" s="119"/>
      <c r="R127" s="96"/>
      <c r="S127" s="96"/>
      <c r="T127" s="119"/>
      <c r="U127" s="97"/>
      <c r="V127" s="97"/>
      <c r="W127" s="119"/>
    </row>
    <row r="128" spans="1:23" s="57" customFormat="1" ht="26.25">
      <c r="A128" s="88"/>
      <c r="B128" s="42"/>
      <c r="C128" s="42"/>
      <c r="D128" s="42"/>
      <c r="E128" s="47"/>
      <c r="F128" s="48"/>
      <c r="G128" s="49"/>
      <c r="H128" s="50"/>
      <c r="I128" s="51"/>
      <c r="J128" s="98"/>
      <c r="K128" s="98"/>
      <c r="L128" s="98"/>
      <c r="M128" s="52"/>
      <c r="N128" s="89"/>
      <c r="O128" s="90"/>
      <c r="Q128" s="101"/>
      <c r="R128" s="172"/>
      <c r="S128" s="96"/>
      <c r="T128" s="119"/>
      <c r="U128" s="175"/>
      <c r="V128" s="96"/>
      <c r="W128" s="119"/>
    </row>
    <row r="129" spans="16:24" ht="26.25">
      <c r="P129" s="57"/>
      <c r="R129" s="172"/>
      <c r="S129" s="96"/>
      <c r="T129" s="119"/>
      <c r="U129" s="175"/>
      <c r="V129" s="96"/>
      <c r="W129" s="119"/>
      <c r="X129" s="57"/>
    </row>
    <row r="130" spans="16:24" ht="26.25">
      <c r="P130" s="57"/>
      <c r="R130" s="172"/>
      <c r="S130" s="96"/>
      <c r="T130" s="119"/>
      <c r="U130" s="175"/>
      <c r="V130" s="96"/>
      <c r="W130" s="119"/>
      <c r="X130" s="57"/>
    </row>
    <row r="131" spans="16:24" ht="26.25">
      <c r="P131" s="57"/>
      <c r="R131" s="172"/>
      <c r="S131" s="96"/>
      <c r="T131" s="119"/>
      <c r="U131" s="175"/>
      <c r="V131" s="96"/>
      <c r="W131" s="119"/>
      <c r="X131" s="57"/>
    </row>
    <row r="132" spans="16:24" ht="26.25">
      <c r="P132" s="57"/>
      <c r="R132" s="172"/>
      <c r="S132" s="96"/>
      <c r="T132" s="119"/>
      <c r="U132" s="97"/>
      <c r="V132" s="97"/>
      <c r="W132" s="119"/>
      <c r="X132" s="57"/>
    </row>
    <row r="133" spans="16:24" ht="26.25">
      <c r="P133" s="57"/>
      <c r="R133" s="172"/>
      <c r="S133" s="96"/>
      <c r="T133" s="119"/>
      <c r="U133" s="119"/>
      <c r="V133" s="176"/>
      <c r="W133" s="119"/>
      <c r="X133" s="57"/>
    </row>
    <row r="134" spans="16:24" ht="26.25">
      <c r="P134" s="57"/>
      <c r="Q134" s="133"/>
      <c r="R134" s="172"/>
      <c r="S134" s="96"/>
      <c r="T134" s="119"/>
      <c r="U134" s="119"/>
      <c r="V134" s="119"/>
      <c r="W134" s="119"/>
      <c r="X134" s="57"/>
    </row>
    <row r="135" spans="16:24" ht="26.25">
      <c r="P135" s="57"/>
      <c r="R135" s="172"/>
      <c r="S135" s="96"/>
      <c r="T135" s="119"/>
      <c r="U135" s="119"/>
      <c r="V135" s="119"/>
      <c r="W135" s="119"/>
      <c r="X135" s="57"/>
    </row>
    <row r="136" spans="16:24" ht="26.25">
      <c r="P136" s="57"/>
      <c r="R136" s="172"/>
      <c r="S136" s="96"/>
      <c r="T136" s="119"/>
      <c r="U136" s="119"/>
      <c r="V136" s="119"/>
      <c r="W136" s="119"/>
      <c r="X136" s="57"/>
    </row>
    <row r="137" spans="18:24" ht="26.25">
      <c r="R137" s="172"/>
      <c r="S137" s="96"/>
      <c r="T137" s="119"/>
      <c r="U137" s="119"/>
      <c r="V137" s="119"/>
      <c r="W137" s="119"/>
      <c r="X137" s="57"/>
    </row>
    <row r="138" spans="1:23" s="57" customFormat="1" ht="26.25">
      <c r="A138" s="88"/>
      <c r="B138" s="42"/>
      <c r="C138" s="42"/>
      <c r="D138" s="42"/>
      <c r="E138" s="47"/>
      <c r="F138" s="48"/>
      <c r="G138" s="49"/>
      <c r="H138" s="50"/>
      <c r="I138" s="51"/>
      <c r="J138" s="98"/>
      <c r="K138" s="98"/>
      <c r="L138" s="98"/>
      <c r="M138" s="52"/>
      <c r="N138" s="89"/>
      <c r="O138" s="90"/>
      <c r="P138" s="42"/>
      <c r="Q138" s="101"/>
      <c r="R138" s="172"/>
      <c r="S138" s="96"/>
      <c r="T138" s="119"/>
      <c r="U138" s="119"/>
      <c r="V138" s="119"/>
      <c r="W138" s="119"/>
    </row>
    <row r="139" spans="1:23" s="57" customFormat="1" ht="26.25">
      <c r="A139" s="88"/>
      <c r="B139" s="42"/>
      <c r="C139" s="42"/>
      <c r="D139" s="42"/>
      <c r="E139" s="47"/>
      <c r="F139" s="48"/>
      <c r="G139" s="49"/>
      <c r="H139" s="50"/>
      <c r="I139" s="51"/>
      <c r="J139" s="98"/>
      <c r="K139" s="98"/>
      <c r="L139" s="98"/>
      <c r="M139" s="52"/>
      <c r="N139" s="89"/>
      <c r="O139" s="90"/>
      <c r="P139" s="42"/>
      <c r="Q139" s="101"/>
      <c r="R139" s="172"/>
      <c r="S139" s="96"/>
      <c r="T139" s="119"/>
      <c r="U139" s="119"/>
      <c r="V139" s="119"/>
      <c r="W139" s="119"/>
    </row>
    <row r="140" spans="1:23" s="57" customFormat="1" ht="26.25">
      <c r="A140" s="88"/>
      <c r="B140" s="42"/>
      <c r="C140" s="42"/>
      <c r="D140" s="42"/>
      <c r="E140" s="47"/>
      <c r="F140" s="48"/>
      <c r="G140" s="49"/>
      <c r="H140" s="50"/>
      <c r="I140" s="51"/>
      <c r="J140" s="98"/>
      <c r="K140" s="98"/>
      <c r="L140" s="98"/>
      <c r="M140" s="52"/>
      <c r="N140" s="89"/>
      <c r="O140" s="90"/>
      <c r="Q140" s="101"/>
      <c r="R140" s="172"/>
      <c r="S140" s="96"/>
      <c r="T140" s="119"/>
      <c r="U140" s="119"/>
      <c r="V140" s="119"/>
      <c r="W140" s="119"/>
    </row>
    <row r="141" spans="1:24" s="57" customFormat="1" ht="26.25">
      <c r="A141" s="88"/>
      <c r="B141" s="42"/>
      <c r="C141" s="42"/>
      <c r="D141" s="42"/>
      <c r="E141" s="47"/>
      <c r="F141" s="48"/>
      <c r="G141" s="49"/>
      <c r="H141" s="50"/>
      <c r="I141" s="51"/>
      <c r="J141" s="98"/>
      <c r="K141" s="98"/>
      <c r="L141" s="98"/>
      <c r="M141" s="52"/>
      <c r="N141" s="89"/>
      <c r="O141" s="90"/>
      <c r="P141" s="42"/>
      <c r="Q141" s="119"/>
      <c r="R141" s="172"/>
      <c r="S141" s="96"/>
      <c r="T141" s="119"/>
      <c r="U141" s="119"/>
      <c r="V141" s="119"/>
      <c r="W141" s="119"/>
      <c r="X141" s="42"/>
    </row>
    <row r="142" spans="1:24" s="57" customFormat="1" ht="26.25">
      <c r="A142" s="88"/>
      <c r="B142" s="42"/>
      <c r="C142" s="42"/>
      <c r="D142" s="42"/>
      <c r="E142" s="47"/>
      <c r="F142" s="48"/>
      <c r="G142" s="49"/>
      <c r="H142" s="50"/>
      <c r="I142" s="51"/>
      <c r="J142" s="98"/>
      <c r="K142" s="98"/>
      <c r="L142" s="98"/>
      <c r="M142" s="52"/>
      <c r="N142" s="89"/>
      <c r="O142" s="90"/>
      <c r="P142" s="42"/>
      <c r="Q142" s="101"/>
      <c r="R142" s="172"/>
      <c r="S142" s="96"/>
      <c r="T142" s="119"/>
      <c r="U142" s="119"/>
      <c r="V142" s="119"/>
      <c r="W142" s="119"/>
      <c r="X142" s="42"/>
    </row>
    <row r="143" spans="1:24" s="82" customFormat="1" ht="26.25">
      <c r="A143" s="88"/>
      <c r="B143" s="42"/>
      <c r="C143" s="42"/>
      <c r="D143" s="42"/>
      <c r="E143" s="47"/>
      <c r="F143" s="48"/>
      <c r="G143" s="49"/>
      <c r="H143" s="50"/>
      <c r="I143" s="51"/>
      <c r="J143" s="98"/>
      <c r="K143" s="98"/>
      <c r="L143" s="98"/>
      <c r="M143" s="52"/>
      <c r="N143" s="89"/>
      <c r="O143" s="90"/>
      <c r="P143" s="42"/>
      <c r="Q143" s="101"/>
      <c r="R143" s="172"/>
      <c r="S143" s="96"/>
      <c r="T143" s="119"/>
      <c r="U143" s="119"/>
      <c r="V143" s="119"/>
      <c r="W143" s="119"/>
      <c r="X143" s="42"/>
    </row>
    <row r="144" spans="1:24" s="82" customFormat="1" ht="26.25">
      <c r="A144" s="88"/>
      <c r="B144" s="42"/>
      <c r="C144" s="42"/>
      <c r="D144" s="42"/>
      <c r="E144" s="47"/>
      <c r="F144" s="48"/>
      <c r="G144" s="49"/>
      <c r="H144" s="50"/>
      <c r="I144" s="51"/>
      <c r="J144" s="98"/>
      <c r="K144" s="98"/>
      <c r="L144" s="98"/>
      <c r="M144" s="52"/>
      <c r="N144" s="89"/>
      <c r="O144" s="90"/>
      <c r="P144" s="42"/>
      <c r="Q144" s="101"/>
      <c r="R144" s="172"/>
      <c r="S144" s="96"/>
      <c r="T144" s="119"/>
      <c r="U144" s="119"/>
      <c r="V144" s="119"/>
      <c r="W144" s="119"/>
      <c r="X144" s="57"/>
    </row>
    <row r="145" spans="1:24" s="57" customFormat="1" ht="26.25">
      <c r="A145" s="88"/>
      <c r="B145" s="42"/>
      <c r="C145" s="42"/>
      <c r="D145" s="42"/>
      <c r="E145" s="47"/>
      <c r="F145" s="48"/>
      <c r="G145" s="49"/>
      <c r="H145" s="50"/>
      <c r="I145" s="51"/>
      <c r="J145" s="98"/>
      <c r="K145" s="98"/>
      <c r="L145" s="98"/>
      <c r="M145" s="52"/>
      <c r="N145" s="89"/>
      <c r="O145" s="90"/>
      <c r="P145" s="42"/>
      <c r="Q145" s="101"/>
      <c r="R145" s="172"/>
      <c r="S145" s="96"/>
      <c r="T145" s="119"/>
      <c r="U145" s="119"/>
      <c r="V145" s="119"/>
      <c r="W145" s="119"/>
      <c r="X145" s="42"/>
    </row>
    <row r="146" spans="1:24" s="57" customFormat="1" ht="26.25">
      <c r="A146" s="88"/>
      <c r="B146" s="42"/>
      <c r="C146" s="42"/>
      <c r="D146" s="42"/>
      <c r="E146" s="47"/>
      <c r="F146" s="48"/>
      <c r="G146" s="49"/>
      <c r="H146" s="50"/>
      <c r="I146" s="51"/>
      <c r="J146" s="98"/>
      <c r="K146" s="98"/>
      <c r="L146" s="98"/>
      <c r="M146" s="52"/>
      <c r="N146" s="89"/>
      <c r="O146" s="90"/>
      <c r="P146" s="42"/>
      <c r="Q146" s="101"/>
      <c r="R146" s="172"/>
      <c r="S146" s="96"/>
      <c r="T146" s="119"/>
      <c r="U146" s="119"/>
      <c r="V146" s="119"/>
      <c r="W146" s="119"/>
      <c r="X146" s="42"/>
    </row>
    <row r="147" spans="1:24" s="57" customFormat="1" ht="26.25">
      <c r="A147" s="88"/>
      <c r="B147" s="42"/>
      <c r="C147" s="42"/>
      <c r="D147" s="42"/>
      <c r="E147" s="47"/>
      <c r="F147" s="48"/>
      <c r="G147" s="49"/>
      <c r="H147" s="50"/>
      <c r="I147" s="51"/>
      <c r="J147" s="98"/>
      <c r="K147" s="98"/>
      <c r="L147" s="98"/>
      <c r="M147" s="52"/>
      <c r="N147" s="89"/>
      <c r="O147" s="90"/>
      <c r="P147" s="42"/>
      <c r="Q147" s="101"/>
      <c r="R147" s="172"/>
      <c r="S147" s="96"/>
      <c r="T147" s="119"/>
      <c r="U147" s="119"/>
      <c r="V147" s="119"/>
      <c r="W147" s="119"/>
      <c r="X147" s="42"/>
    </row>
    <row r="148" spans="1:24" s="57" customFormat="1" ht="26.25">
      <c r="A148" s="88"/>
      <c r="B148" s="42"/>
      <c r="C148" s="42"/>
      <c r="D148" s="42"/>
      <c r="E148" s="47"/>
      <c r="F148" s="48"/>
      <c r="G148" s="49"/>
      <c r="H148" s="50"/>
      <c r="I148" s="51"/>
      <c r="J148" s="98"/>
      <c r="K148" s="98"/>
      <c r="L148" s="98"/>
      <c r="M148" s="52"/>
      <c r="N148" s="89"/>
      <c r="O148" s="90"/>
      <c r="P148" s="42"/>
      <c r="Q148" s="101"/>
      <c r="R148" s="172"/>
      <c r="S148" s="96"/>
      <c r="T148" s="119"/>
      <c r="U148" s="119"/>
      <c r="V148" s="119"/>
      <c r="W148" s="119"/>
      <c r="X148" s="42"/>
    </row>
    <row r="149" spans="1:24" s="57" customFormat="1" ht="26.25">
      <c r="A149" s="88"/>
      <c r="B149" s="42"/>
      <c r="C149" s="42"/>
      <c r="D149" s="42"/>
      <c r="E149" s="47"/>
      <c r="F149" s="48"/>
      <c r="G149" s="49"/>
      <c r="H149" s="50"/>
      <c r="I149" s="51"/>
      <c r="J149" s="98"/>
      <c r="K149" s="98"/>
      <c r="L149" s="98"/>
      <c r="M149" s="52"/>
      <c r="N149" s="89"/>
      <c r="O149" s="90"/>
      <c r="P149" s="42"/>
      <c r="Q149" s="101"/>
      <c r="R149" s="172"/>
      <c r="S149" s="96"/>
      <c r="T149" s="119"/>
      <c r="U149" s="119"/>
      <c r="V149" s="119"/>
      <c r="W149" s="119"/>
      <c r="X149" s="42"/>
    </row>
    <row r="150" spans="1:24" s="57" customFormat="1" ht="26.25">
      <c r="A150" s="88"/>
      <c r="B150" s="42"/>
      <c r="C150" s="42"/>
      <c r="D150" s="42"/>
      <c r="E150" s="47"/>
      <c r="F150" s="48"/>
      <c r="G150" s="49"/>
      <c r="H150" s="50"/>
      <c r="I150" s="51"/>
      <c r="J150" s="98"/>
      <c r="K150" s="98"/>
      <c r="L150" s="98"/>
      <c r="M150" s="52"/>
      <c r="N150" s="89"/>
      <c r="O150" s="90"/>
      <c r="P150" s="42"/>
      <c r="Q150" s="101"/>
      <c r="R150" s="172"/>
      <c r="S150" s="96"/>
      <c r="T150" s="119"/>
      <c r="U150" s="119"/>
      <c r="V150" s="119"/>
      <c r="W150" s="119"/>
      <c r="X150" s="42"/>
    </row>
    <row r="151" spans="1:24" s="57" customFormat="1" ht="26.25">
      <c r="A151" s="88"/>
      <c r="B151" s="42"/>
      <c r="C151" s="42"/>
      <c r="D151" s="42"/>
      <c r="E151" s="47"/>
      <c r="F151" s="48"/>
      <c r="G151" s="49"/>
      <c r="H151" s="50"/>
      <c r="I151" s="51"/>
      <c r="J151" s="98"/>
      <c r="K151" s="98"/>
      <c r="L151" s="98"/>
      <c r="M151" s="52"/>
      <c r="N151" s="89"/>
      <c r="O151" s="90"/>
      <c r="P151" s="42"/>
      <c r="Q151" s="101"/>
      <c r="R151" s="172"/>
      <c r="S151" s="96"/>
      <c r="T151" s="119"/>
      <c r="U151" s="119"/>
      <c r="V151" s="119"/>
      <c r="W151" s="119"/>
      <c r="X151" s="42"/>
    </row>
    <row r="152" spans="1:24" s="57" customFormat="1" ht="26.25">
      <c r="A152" s="88"/>
      <c r="B152" s="42"/>
      <c r="C152" s="42"/>
      <c r="D152" s="42"/>
      <c r="E152" s="47"/>
      <c r="F152" s="48"/>
      <c r="G152" s="49"/>
      <c r="H152" s="50"/>
      <c r="I152" s="51"/>
      <c r="J152" s="98"/>
      <c r="K152" s="98"/>
      <c r="L152" s="98"/>
      <c r="M152" s="52"/>
      <c r="N152" s="89"/>
      <c r="O152" s="90"/>
      <c r="P152" s="42"/>
      <c r="Q152" s="101"/>
      <c r="R152" s="172"/>
      <c r="S152" s="96"/>
      <c r="T152" s="119"/>
      <c r="U152" s="119"/>
      <c r="V152" s="119"/>
      <c r="W152" s="119"/>
      <c r="X152" s="42"/>
    </row>
    <row r="153" spans="1:24" s="57" customFormat="1" ht="26.25">
      <c r="A153" s="88"/>
      <c r="B153" s="42"/>
      <c r="C153" s="42"/>
      <c r="D153" s="42"/>
      <c r="E153" s="47"/>
      <c r="F153" s="48"/>
      <c r="G153" s="49"/>
      <c r="H153" s="50"/>
      <c r="I153" s="51"/>
      <c r="J153" s="98"/>
      <c r="K153" s="98"/>
      <c r="L153" s="98"/>
      <c r="M153" s="52"/>
      <c r="N153" s="89"/>
      <c r="O153" s="90"/>
      <c r="Q153" s="101"/>
      <c r="R153" s="172"/>
      <c r="S153" s="96"/>
      <c r="T153" s="119"/>
      <c r="U153" s="119"/>
      <c r="V153" s="119"/>
      <c r="W153" s="119"/>
      <c r="X153" s="42"/>
    </row>
    <row r="154" spans="1:24" s="57" customFormat="1" ht="26.25">
      <c r="A154" s="88"/>
      <c r="B154" s="42"/>
      <c r="C154" s="42"/>
      <c r="D154" s="42"/>
      <c r="E154" s="47"/>
      <c r="F154" s="48"/>
      <c r="G154" s="49"/>
      <c r="H154" s="50"/>
      <c r="I154" s="51"/>
      <c r="J154" s="98"/>
      <c r="K154" s="98"/>
      <c r="L154" s="98"/>
      <c r="M154" s="52"/>
      <c r="N154" s="89"/>
      <c r="O154" s="90"/>
      <c r="P154" s="42"/>
      <c r="Q154" s="101"/>
      <c r="R154" s="172"/>
      <c r="S154" s="96"/>
      <c r="T154" s="119"/>
      <c r="U154" s="119"/>
      <c r="V154" s="119"/>
      <c r="W154" s="119"/>
      <c r="X154" s="42"/>
    </row>
    <row r="155" spans="1:24" s="57" customFormat="1" ht="26.25">
      <c r="A155" s="88"/>
      <c r="B155" s="42"/>
      <c r="C155" s="42"/>
      <c r="D155" s="42"/>
      <c r="E155" s="47"/>
      <c r="F155" s="48"/>
      <c r="G155" s="49"/>
      <c r="H155" s="50"/>
      <c r="I155" s="51"/>
      <c r="J155" s="98"/>
      <c r="K155" s="98"/>
      <c r="L155" s="98"/>
      <c r="M155" s="52"/>
      <c r="N155" s="89"/>
      <c r="O155" s="90"/>
      <c r="P155" s="42"/>
      <c r="Q155" s="101"/>
      <c r="R155" s="172"/>
      <c r="S155" s="96"/>
      <c r="T155" s="119"/>
      <c r="U155" s="119"/>
      <c r="V155" s="119"/>
      <c r="W155" s="119"/>
      <c r="X155" s="42"/>
    </row>
    <row r="156" spans="1:24" s="57" customFormat="1" ht="26.25">
      <c r="A156" s="88"/>
      <c r="B156" s="42"/>
      <c r="C156" s="42"/>
      <c r="D156" s="42"/>
      <c r="E156" s="47"/>
      <c r="F156" s="48"/>
      <c r="G156" s="49"/>
      <c r="H156" s="50"/>
      <c r="I156" s="51"/>
      <c r="J156" s="98"/>
      <c r="K156" s="98"/>
      <c r="L156" s="98"/>
      <c r="M156" s="52"/>
      <c r="N156" s="89"/>
      <c r="O156" s="90"/>
      <c r="P156" s="42"/>
      <c r="Q156" s="101"/>
      <c r="R156" s="172"/>
      <c r="S156" s="96"/>
      <c r="T156" s="119"/>
      <c r="U156" s="119"/>
      <c r="V156" s="119"/>
      <c r="W156" s="119"/>
      <c r="X156" s="42"/>
    </row>
    <row r="157" spans="1:23" s="57" customFormat="1" ht="26.25">
      <c r="A157" s="88"/>
      <c r="B157" s="42"/>
      <c r="C157" s="42"/>
      <c r="D157" s="42"/>
      <c r="E157" s="47"/>
      <c r="F157" s="48"/>
      <c r="G157" s="49"/>
      <c r="H157" s="50"/>
      <c r="I157" s="51"/>
      <c r="J157" s="98"/>
      <c r="K157" s="98"/>
      <c r="L157" s="98"/>
      <c r="M157" s="52"/>
      <c r="N157" s="89"/>
      <c r="O157" s="90"/>
      <c r="P157" s="42"/>
      <c r="Q157" s="101"/>
      <c r="R157" s="172"/>
      <c r="S157" s="96"/>
      <c r="T157" s="119"/>
      <c r="U157" s="119"/>
      <c r="V157" s="119"/>
      <c r="W157" s="119"/>
    </row>
    <row r="158" spans="1:24" s="57" customFormat="1" ht="26.25">
      <c r="A158" s="88"/>
      <c r="B158" s="42"/>
      <c r="C158" s="42"/>
      <c r="D158" s="42"/>
      <c r="E158" s="47"/>
      <c r="F158" s="48"/>
      <c r="G158" s="49"/>
      <c r="H158" s="50"/>
      <c r="I158" s="51"/>
      <c r="J158" s="98"/>
      <c r="K158" s="98"/>
      <c r="L158" s="98"/>
      <c r="M158" s="52"/>
      <c r="N158" s="89"/>
      <c r="O158" s="90"/>
      <c r="P158" s="42"/>
      <c r="Q158" s="101"/>
      <c r="R158" s="172"/>
      <c r="S158" s="96"/>
      <c r="T158" s="119"/>
      <c r="U158" s="119"/>
      <c r="V158" s="119"/>
      <c r="W158" s="119"/>
      <c r="X158" s="42"/>
    </row>
    <row r="159" spans="1:24" s="57" customFormat="1" ht="26.25">
      <c r="A159" s="88"/>
      <c r="B159" s="42"/>
      <c r="C159" s="42"/>
      <c r="D159" s="42"/>
      <c r="E159" s="47"/>
      <c r="F159" s="48"/>
      <c r="G159" s="49"/>
      <c r="H159" s="50"/>
      <c r="I159" s="51"/>
      <c r="J159" s="98"/>
      <c r="K159" s="98"/>
      <c r="L159" s="98"/>
      <c r="M159" s="52"/>
      <c r="N159" s="89"/>
      <c r="O159" s="90"/>
      <c r="P159" s="42"/>
      <c r="Q159" s="101"/>
      <c r="R159" s="172"/>
      <c r="S159" s="96"/>
      <c r="T159" s="119"/>
      <c r="U159" s="119"/>
      <c r="V159" s="119"/>
      <c r="W159" s="119"/>
      <c r="X159" s="42"/>
    </row>
    <row r="160" spans="1:24" s="57" customFormat="1" ht="26.25">
      <c r="A160" s="88"/>
      <c r="B160" s="42"/>
      <c r="C160" s="42"/>
      <c r="D160" s="42"/>
      <c r="E160" s="47"/>
      <c r="F160" s="48"/>
      <c r="G160" s="49"/>
      <c r="H160" s="50"/>
      <c r="I160" s="51"/>
      <c r="J160" s="98"/>
      <c r="K160" s="98"/>
      <c r="L160" s="98"/>
      <c r="M160" s="52"/>
      <c r="N160" s="89"/>
      <c r="O160" s="90"/>
      <c r="P160" s="42"/>
      <c r="Q160" s="101"/>
      <c r="R160" s="172"/>
      <c r="S160" s="96"/>
      <c r="T160" s="119"/>
      <c r="U160" s="119"/>
      <c r="V160" s="119"/>
      <c r="W160" s="119"/>
      <c r="X160" s="42"/>
    </row>
    <row r="161" spans="18:23" ht="26.25">
      <c r="R161" s="172"/>
      <c r="S161" s="96"/>
      <c r="T161" s="119"/>
      <c r="U161" s="119"/>
      <c r="V161" s="119"/>
      <c r="W161" s="119"/>
    </row>
    <row r="162" spans="18:23" ht="26.25">
      <c r="R162" s="172"/>
      <c r="S162" s="96"/>
      <c r="T162" s="119"/>
      <c r="U162" s="119"/>
      <c r="V162" s="119"/>
      <c r="W162" s="119"/>
    </row>
    <row r="163" spans="18:23" ht="26.25">
      <c r="R163" s="172"/>
      <c r="S163" s="96"/>
      <c r="T163" s="119"/>
      <c r="U163" s="119"/>
      <c r="V163" s="119"/>
      <c r="W163" s="119"/>
    </row>
    <row r="164" spans="1:24" s="57" customFormat="1" ht="26.25">
      <c r="A164" s="88"/>
      <c r="B164" s="42"/>
      <c r="C164" s="42"/>
      <c r="D164" s="42"/>
      <c r="E164" s="47"/>
      <c r="F164" s="48"/>
      <c r="G164" s="49"/>
      <c r="H164" s="50"/>
      <c r="I164" s="51"/>
      <c r="J164" s="98"/>
      <c r="K164" s="98"/>
      <c r="L164" s="98"/>
      <c r="M164" s="52"/>
      <c r="N164" s="89"/>
      <c r="O164" s="90"/>
      <c r="P164" s="42"/>
      <c r="Q164" s="101"/>
      <c r="R164" s="172"/>
      <c r="S164" s="96"/>
      <c r="T164" s="119"/>
      <c r="U164" s="119"/>
      <c r="V164" s="119"/>
      <c r="W164" s="119"/>
      <c r="X164" s="42"/>
    </row>
    <row r="165" spans="18:23" ht="26.25">
      <c r="R165" s="172"/>
      <c r="S165" s="96"/>
      <c r="T165" s="119"/>
      <c r="U165" s="119"/>
      <c r="V165" s="119"/>
      <c r="W165" s="119"/>
    </row>
    <row r="166" spans="18:23" ht="26.25">
      <c r="R166" s="172"/>
      <c r="S166" s="96"/>
      <c r="T166" s="119"/>
      <c r="U166" s="119"/>
      <c r="V166" s="119"/>
      <c r="W166" s="119"/>
    </row>
    <row r="167" spans="17:23" ht="26.25">
      <c r="Q167" s="119"/>
      <c r="R167" s="119"/>
      <c r="S167" s="119"/>
      <c r="T167" s="119"/>
      <c r="U167" s="119"/>
      <c r="V167" s="119"/>
      <c r="W167" s="119"/>
    </row>
    <row r="168" spans="17:23" ht="26.25">
      <c r="Q168" s="119"/>
      <c r="R168" s="119"/>
      <c r="S168" s="119"/>
      <c r="T168" s="119"/>
      <c r="U168" s="119"/>
      <c r="V168" s="119"/>
      <c r="W168" s="119"/>
    </row>
    <row r="169" spans="17:23" ht="26.25">
      <c r="Q169" s="119"/>
      <c r="R169" s="119"/>
      <c r="S169" s="119"/>
      <c r="T169" s="119"/>
      <c r="U169" s="119"/>
      <c r="V169" s="119"/>
      <c r="W169" s="119"/>
    </row>
    <row r="170" spans="17:23" ht="26.25">
      <c r="Q170" s="119"/>
      <c r="R170" s="119"/>
      <c r="S170" s="119"/>
      <c r="T170" s="119"/>
      <c r="U170" s="119"/>
      <c r="V170" s="119"/>
      <c r="W170" s="119"/>
    </row>
    <row r="171" spans="16:23" ht="26.25">
      <c r="P171" s="57"/>
      <c r="R171" s="96"/>
      <c r="S171" s="96"/>
      <c r="T171" s="119"/>
      <c r="U171" s="97"/>
      <c r="V171" s="97"/>
      <c r="W171" s="119"/>
    </row>
    <row r="172" spans="18:24" ht="26.25">
      <c r="R172" s="172"/>
      <c r="S172" s="96"/>
      <c r="T172" s="119"/>
      <c r="U172" s="175"/>
      <c r="V172" s="96"/>
      <c r="W172" s="119"/>
      <c r="X172" s="57"/>
    </row>
    <row r="173" spans="16:24" ht="26.25">
      <c r="P173" s="57"/>
      <c r="R173" s="172"/>
      <c r="S173" s="96"/>
      <c r="T173" s="119"/>
      <c r="U173" s="175"/>
      <c r="V173" s="96"/>
      <c r="W173" s="119"/>
      <c r="X173" s="57"/>
    </row>
    <row r="174" spans="16:23" ht="26.25">
      <c r="P174" s="57"/>
      <c r="R174" s="172"/>
      <c r="S174" s="96"/>
      <c r="T174" s="119"/>
      <c r="U174" s="175"/>
      <c r="V174" s="96"/>
      <c r="W174" s="119"/>
    </row>
    <row r="175" spans="16:24" ht="26.25">
      <c r="P175" s="57"/>
      <c r="R175" s="172"/>
      <c r="S175" s="96"/>
      <c r="T175" s="119"/>
      <c r="U175" s="175"/>
      <c r="V175" s="96"/>
      <c r="W175" s="119"/>
      <c r="X175" s="57"/>
    </row>
    <row r="176" spans="16:24" ht="26.25">
      <c r="P176" s="57"/>
      <c r="R176" s="172"/>
      <c r="S176" s="96"/>
      <c r="T176" s="119"/>
      <c r="U176" s="97"/>
      <c r="V176" s="97"/>
      <c r="W176" s="119"/>
      <c r="X176" s="57"/>
    </row>
    <row r="177" spans="16:24" ht="26.25">
      <c r="P177" s="57"/>
      <c r="Q177" s="119"/>
      <c r="R177" s="172"/>
      <c r="S177" s="96"/>
      <c r="T177" s="119"/>
      <c r="U177" s="119"/>
      <c r="V177" s="176"/>
      <c r="W177" s="119"/>
      <c r="X177" s="57"/>
    </row>
    <row r="178" spans="16:24" ht="26.25">
      <c r="P178" s="57"/>
      <c r="R178" s="172"/>
      <c r="S178" s="96"/>
      <c r="T178" s="119"/>
      <c r="U178" s="119"/>
      <c r="V178" s="119"/>
      <c r="W178" s="119"/>
      <c r="X178" s="57"/>
    </row>
    <row r="179" spans="16:24" ht="26.25">
      <c r="P179" s="57"/>
      <c r="R179" s="172"/>
      <c r="S179" s="96"/>
      <c r="T179" s="119"/>
      <c r="U179" s="119"/>
      <c r="V179" s="119"/>
      <c r="W179" s="119"/>
      <c r="X179" s="57"/>
    </row>
    <row r="180" spans="16:24" ht="26.25">
      <c r="P180" s="57"/>
      <c r="R180" s="172"/>
      <c r="S180" s="96"/>
      <c r="T180" s="119"/>
      <c r="U180" s="119"/>
      <c r="V180" s="119"/>
      <c r="W180" s="119"/>
      <c r="X180" s="57"/>
    </row>
    <row r="181" spans="16:24" ht="26.25">
      <c r="P181" s="57"/>
      <c r="R181" s="172"/>
      <c r="S181" s="96"/>
      <c r="T181" s="119"/>
      <c r="U181" s="119"/>
      <c r="V181" s="119"/>
      <c r="W181" s="119"/>
      <c r="X181" s="57"/>
    </row>
    <row r="182" spans="16:24" ht="26.25">
      <c r="P182" s="57"/>
      <c r="R182" s="172"/>
      <c r="S182" s="96"/>
      <c r="T182" s="119"/>
      <c r="U182" s="119"/>
      <c r="V182" s="119"/>
      <c r="W182" s="119"/>
      <c r="X182" s="57"/>
    </row>
    <row r="183" spans="18:24" ht="26.25">
      <c r="R183" s="172"/>
      <c r="S183" s="96"/>
      <c r="T183" s="119"/>
      <c r="U183" s="119"/>
      <c r="V183" s="119"/>
      <c r="W183" s="119"/>
      <c r="X183" s="57"/>
    </row>
    <row r="184" spans="18:24" ht="26.25">
      <c r="R184" s="172"/>
      <c r="S184" s="96"/>
      <c r="T184" s="119"/>
      <c r="U184" s="119"/>
      <c r="V184" s="119"/>
      <c r="W184" s="119"/>
      <c r="X184" s="57"/>
    </row>
    <row r="185" spans="18:24" ht="26.25">
      <c r="R185" s="172"/>
      <c r="S185" s="96"/>
      <c r="T185" s="119"/>
      <c r="U185" s="119"/>
      <c r="V185" s="119"/>
      <c r="W185" s="119"/>
      <c r="X185" s="57"/>
    </row>
    <row r="186" spans="18:23" ht="26.25">
      <c r="R186" s="172"/>
      <c r="S186" s="96"/>
      <c r="T186" s="119"/>
      <c r="U186" s="119"/>
      <c r="V186" s="119"/>
      <c r="W186" s="119"/>
    </row>
    <row r="187" spans="18:23" ht="26.25">
      <c r="R187" s="172"/>
      <c r="S187" s="96"/>
      <c r="T187" s="119"/>
      <c r="U187" s="119"/>
      <c r="V187" s="119"/>
      <c r="W187" s="119"/>
    </row>
    <row r="188" spans="18:23" ht="26.25">
      <c r="R188" s="172"/>
      <c r="S188" s="96"/>
      <c r="T188" s="119"/>
      <c r="U188" s="119"/>
      <c r="V188" s="119"/>
      <c r="W188" s="119"/>
    </row>
    <row r="189" ht="26.25">
      <c r="Q189" s="133"/>
    </row>
  </sheetData>
  <sheetProtection/>
  <mergeCells count="16">
    <mergeCell ref="Q4:W4"/>
    <mergeCell ref="B5:D5"/>
    <mergeCell ref="E5:F5"/>
    <mergeCell ref="A1:O1"/>
    <mergeCell ref="Q1:W1"/>
    <mergeCell ref="A2:O2"/>
    <mergeCell ref="Q2:W2"/>
    <mergeCell ref="A3:O3"/>
    <mergeCell ref="Q3:W3"/>
    <mergeCell ref="H29:O29"/>
    <mergeCell ref="B30:D30"/>
    <mergeCell ref="E30:F30"/>
    <mergeCell ref="B41:D41"/>
    <mergeCell ref="E41:F41"/>
    <mergeCell ref="B51:D51"/>
    <mergeCell ref="E51:F51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72" r:id="rId1"/>
  <headerFooter alignWithMargins="0">
    <oddFooter>&amp;L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จ่ายเงินผู้สูงอายุ</dc:title>
  <dc:subject/>
  <dc:creator>งานพัฒนาชุมชน เทศบาลตำบลปงยางคก</dc:creator>
  <cp:keywords/>
  <dc:description/>
  <cp:lastModifiedBy>user</cp:lastModifiedBy>
  <cp:lastPrinted>2017-03-01T07:37:32Z</cp:lastPrinted>
  <dcterms:created xsi:type="dcterms:W3CDTF">2011-09-12T08:39:03Z</dcterms:created>
  <dcterms:modified xsi:type="dcterms:W3CDTF">2017-03-24T04:36:25Z</dcterms:modified>
  <cp:category/>
  <cp:version/>
  <cp:contentType/>
  <cp:contentStatus/>
</cp:coreProperties>
</file>